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440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88" i="1" l="1"/>
  <c r="O88" i="1" s="1"/>
  <c r="N88" i="1"/>
  <c r="S141" i="1" l="1"/>
  <c r="R141" i="1"/>
  <c r="Q141" i="1"/>
  <c r="M141" i="1"/>
  <c r="L141" i="1"/>
  <c r="K141" i="1"/>
  <c r="J141" i="1"/>
  <c r="A141" i="1"/>
  <c r="A139" i="1"/>
  <c r="M91" i="1"/>
  <c r="L91" i="1"/>
  <c r="K91" i="1"/>
  <c r="S90" i="1"/>
  <c r="R90" i="1"/>
  <c r="Q90" i="1"/>
  <c r="M90" i="1"/>
  <c r="L90" i="1"/>
  <c r="K90" i="1"/>
  <c r="J90" i="1"/>
  <c r="M63" i="1" l="1"/>
  <c r="M72" i="1"/>
  <c r="A102" i="1"/>
  <c r="P86" i="1"/>
  <c r="N86" i="1"/>
  <c r="P85" i="1"/>
  <c r="N85" i="1"/>
  <c r="O86" i="1" l="1"/>
  <c r="O85" i="1"/>
  <c r="N84" i="1"/>
  <c r="P84" i="1"/>
  <c r="N89" i="1"/>
  <c r="P89" i="1"/>
  <c r="O84" i="1" l="1"/>
  <c r="O89" i="1"/>
  <c r="U29" i="1" l="1"/>
  <c r="U28" i="1"/>
  <c r="P71" i="1" l="1"/>
  <c r="P70" i="1"/>
  <c r="P69" i="1"/>
  <c r="P68" i="1"/>
  <c r="S154" i="1" l="1"/>
  <c r="S155" i="1" s="1"/>
  <c r="R154" i="1"/>
  <c r="R155" i="1" s="1"/>
  <c r="M154" i="1"/>
  <c r="M155" i="1" s="1"/>
  <c r="M156" i="1" s="1"/>
  <c r="L154" i="1"/>
  <c r="L155" i="1" s="1"/>
  <c r="L156" i="1" s="1"/>
  <c r="K154" i="1"/>
  <c r="K155" i="1" s="1"/>
  <c r="K156" i="1" s="1"/>
  <c r="J154" i="1"/>
  <c r="J155" i="1" s="1"/>
  <c r="A154" i="1"/>
  <c r="S144" i="1"/>
  <c r="R144" i="1"/>
  <c r="Q144" i="1"/>
  <c r="M144" i="1"/>
  <c r="L144" i="1"/>
  <c r="K144" i="1"/>
  <c r="J144" i="1"/>
  <c r="A144" i="1"/>
  <c r="S140" i="1"/>
  <c r="R140" i="1"/>
  <c r="Q140" i="1"/>
  <c r="M140" i="1"/>
  <c r="L140" i="1"/>
  <c r="K140" i="1"/>
  <c r="J140" i="1"/>
  <c r="A140" i="1"/>
  <c r="S139" i="1"/>
  <c r="R139" i="1"/>
  <c r="Q139" i="1"/>
  <c r="M139" i="1"/>
  <c r="L139" i="1"/>
  <c r="K139" i="1"/>
  <c r="J139" i="1"/>
  <c r="S138" i="1"/>
  <c r="R138" i="1"/>
  <c r="Q138" i="1"/>
  <c r="M138" i="1"/>
  <c r="L138" i="1"/>
  <c r="K138" i="1"/>
  <c r="J138" i="1"/>
  <c r="A138" i="1"/>
  <c r="S137" i="1"/>
  <c r="R137" i="1"/>
  <c r="M137" i="1"/>
  <c r="L137" i="1"/>
  <c r="K137" i="1"/>
  <c r="J137" i="1"/>
  <c r="A137" i="1"/>
  <c r="S136" i="1"/>
  <c r="R136" i="1"/>
  <c r="M136" i="1"/>
  <c r="L136" i="1"/>
  <c r="K136" i="1"/>
  <c r="J136" i="1"/>
  <c r="A136" i="1"/>
  <c r="S135" i="1"/>
  <c r="R135" i="1"/>
  <c r="M135" i="1"/>
  <c r="L135" i="1"/>
  <c r="K135" i="1"/>
  <c r="J135" i="1"/>
  <c r="A135" i="1"/>
  <c r="S134" i="1"/>
  <c r="S142" i="1" s="1"/>
  <c r="R134" i="1"/>
  <c r="R142" i="1" s="1"/>
  <c r="M134" i="1"/>
  <c r="M142" i="1" s="1"/>
  <c r="L134" i="1"/>
  <c r="L142" i="1" s="1"/>
  <c r="K134" i="1"/>
  <c r="K142" i="1" s="1"/>
  <c r="J134" i="1"/>
  <c r="J142" i="1" s="1"/>
  <c r="A134" i="1"/>
  <c r="S122" i="1"/>
  <c r="R122" i="1"/>
  <c r="M122" i="1"/>
  <c r="L122" i="1"/>
  <c r="K122" i="1"/>
  <c r="J122" i="1"/>
  <c r="A122" i="1"/>
  <c r="S121" i="1"/>
  <c r="R121" i="1"/>
  <c r="Q121" i="1"/>
  <c r="M121" i="1"/>
  <c r="L121" i="1"/>
  <c r="K121" i="1"/>
  <c r="J121" i="1"/>
  <c r="A121" i="1"/>
  <c r="S120" i="1"/>
  <c r="R120" i="1"/>
  <c r="Q120" i="1"/>
  <c r="M120" i="1"/>
  <c r="L120" i="1"/>
  <c r="K120" i="1"/>
  <c r="J120" i="1"/>
  <c r="A120" i="1"/>
  <c r="S117" i="1"/>
  <c r="R117" i="1"/>
  <c r="M117" i="1"/>
  <c r="L117" i="1"/>
  <c r="K117" i="1"/>
  <c r="J117" i="1"/>
  <c r="A117" i="1"/>
  <c r="S116" i="1"/>
  <c r="R116" i="1"/>
  <c r="M116" i="1"/>
  <c r="L116" i="1"/>
  <c r="K116" i="1"/>
  <c r="J116" i="1"/>
  <c r="A116" i="1"/>
  <c r="S115" i="1"/>
  <c r="R115" i="1"/>
  <c r="M115" i="1"/>
  <c r="L115" i="1"/>
  <c r="K115" i="1"/>
  <c r="J115" i="1"/>
  <c r="A115" i="1"/>
  <c r="R102" i="1" l="1"/>
  <c r="S102" i="1"/>
  <c r="S105" i="1" l="1"/>
  <c r="R105" i="1"/>
  <c r="M105" i="1"/>
  <c r="L105" i="1"/>
  <c r="K105" i="1"/>
  <c r="J105" i="1"/>
  <c r="A105" i="1"/>
  <c r="A104" i="1" l="1"/>
  <c r="A103" i="1"/>
  <c r="S104" i="1"/>
  <c r="R104" i="1"/>
  <c r="M104" i="1"/>
  <c r="L104" i="1"/>
  <c r="K104" i="1"/>
  <c r="J104" i="1"/>
  <c r="S103" i="1"/>
  <c r="S106" i="1" s="1"/>
  <c r="R103" i="1"/>
  <c r="R106" i="1" s="1"/>
  <c r="M103" i="1"/>
  <c r="L103" i="1"/>
  <c r="K103" i="1"/>
  <c r="J103" i="1"/>
  <c r="M102" i="1"/>
  <c r="M106" i="1" s="1"/>
  <c r="M107" i="1" s="1"/>
  <c r="L102" i="1"/>
  <c r="L106" i="1" s="1"/>
  <c r="L107" i="1" s="1"/>
  <c r="K102" i="1"/>
  <c r="K106" i="1" s="1"/>
  <c r="K107" i="1" s="1"/>
  <c r="J102" i="1"/>
  <c r="J106" i="1" s="1"/>
  <c r="N43" i="1" l="1"/>
  <c r="P43" i="1"/>
  <c r="S145" i="1"/>
  <c r="R145" i="1"/>
  <c r="Q145" i="1"/>
  <c r="M145" i="1"/>
  <c r="L145" i="1"/>
  <c r="K145" i="1"/>
  <c r="J145" i="1"/>
  <c r="S123" i="1"/>
  <c r="R123" i="1"/>
  <c r="M123" i="1"/>
  <c r="L123" i="1"/>
  <c r="K123" i="1"/>
  <c r="J123" i="1"/>
  <c r="S118" i="1"/>
  <c r="R118" i="1"/>
  <c r="M118" i="1"/>
  <c r="L118" i="1"/>
  <c r="K118" i="1"/>
  <c r="J118" i="1"/>
  <c r="N81" i="1"/>
  <c r="N82" i="1"/>
  <c r="N141" i="1" s="1"/>
  <c r="P53" i="1"/>
  <c r="N53" i="1"/>
  <c r="P82" i="1"/>
  <c r="P141" i="1" s="1"/>
  <c r="P81" i="1"/>
  <c r="S72" i="1"/>
  <c r="R72" i="1"/>
  <c r="Q72" i="1"/>
  <c r="L72" i="1"/>
  <c r="K72" i="1"/>
  <c r="J72" i="1"/>
  <c r="N71" i="1"/>
  <c r="N70" i="1"/>
  <c r="N121" i="1" s="1"/>
  <c r="N69" i="1"/>
  <c r="N144" i="1" s="1"/>
  <c r="N68" i="1"/>
  <c r="S63" i="1"/>
  <c r="R63" i="1"/>
  <c r="Q63" i="1"/>
  <c r="L63" i="1"/>
  <c r="K63" i="1"/>
  <c r="J63" i="1"/>
  <c r="P62" i="1"/>
  <c r="N62" i="1"/>
  <c r="P61" i="1"/>
  <c r="Q105" i="1" s="1"/>
  <c r="N61" i="1"/>
  <c r="P60" i="1"/>
  <c r="N60" i="1"/>
  <c r="P59" i="1"/>
  <c r="N59" i="1"/>
  <c r="N139" i="1" s="1"/>
  <c r="S54" i="1"/>
  <c r="R54" i="1"/>
  <c r="Q54" i="1"/>
  <c r="M54" i="1"/>
  <c r="L54" i="1"/>
  <c r="K54" i="1"/>
  <c r="J54" i="1"/>
  <c r="P52" i="1"/>
  <c r="Q122" i="1" s="1"/>
  <c r="Q123" i="1" s="1"/>
  <c r="N52" i="1"/>
  <c r="P51" i="1"/>
  <c r="N51" i="1"/>
  <c r="N137" i="1" s="1"/>
  <c r="P50" i="1"/>
  <c r="N50" i="1"/>
  <c r="N136" i="1" s="1"/>
  <c r="P49" i="1"/>
  <c r="Q135" i="1" s="1"/>
  <c r="N49" i="1"/>
  <c r="N116" i="1"/>
  <c r="N42" i="1"/>
  <c r="N41" i="1"/>
  <c r="N40" i="1"/>
  <c r="K44" i="1"/>
  <c r="P42" i="1"/>
  <c r="Q134" i="1" s="1"/>
  <c r="P41" i="1"/>
  <c r="Q103" i="1" s="1"/>
  <c r="S44" i="1"/>
  <c r="R44" i="1"/>
  <c r="Q44" i="1"/>
  <c r="P40" i="1"/>
  <c r="M44" i="1"/>
  <c r="L44" i="1"/>
  <c r="J44" i="1"/>
  <c r="P90" i="1" l="1"/>
  <c r="P91" i="1"/>
  <c r="N90" i="1"/>
  <c r="N91" i="1"/>
  <c r="N138" i="1"/>
  <c r="N122" i="1"/>
  <c r="Q104" i="1"/>
  <c r="Q102" i="1"/>
  <c r="Q116" i="1"/>
  <c r="Q115" i="1"/>
  <c r="Q136" i="1"/>
  <c r="Q142" i="1" s="1"/>
  <c r="Q137" i="1"/>
  <c r="P138" i="1"/>
  <c r="Q117" i="1"/>
  <c r="Q154" i="1"/>
  <c r="Q155" i="1" s="1"/>
  <c r="N104" i="1"/>
  <c r="N105" i="1"/>
  <c r="N117" i="1"/>
  <c r="O81" i="1"/>
  <c r="U54" i="1"/>
  <c r="P154" i="1"/>
  <c r="P155" i="1" s="1"/>
  <c r="P156" i="1" s="1"/>
  <c r="P139" i="1"/>
  <c r="N134" i="1"/>
  <c r="N135" i="1"/>
  <c r="S163" i="1"/>
  <c r="S165" i="1" s="1"/>
  <c r="U72" i="1"/>
  <c r="R163" i="1"/>
  <c r="R165" i="1" s="1"/>
  <c r="U44" i="1"/>
  <c r="N63" i="1"/>
  <c r="N154" i="1"/>
  <c r="N155" i="1" s="1"/>
  <c r="N156" i="1" s="1"/>
  <c r="U63" i="1"/>
  <c r="O82" i="1"/>
  <c r="O141" i="1" s="1"/>
  <c r="J164" i="1"/>
  <c r="S124" i="1"/>
  <c r="P63" i="1"/>
  <c r="O50" i="1"/>
  <c r="O136" i="1" s="1"/>
  <c r="O51" i="1"/>
  <c r="O137" i="1" s="1"/>
  <c r="O52" i="1"/>
  <c r="O138" i="1" s="1"/>
  <c r="O61" i="1"/>
  <c r="P105" i="1" s="1"/>
  <c r="O62" i="1"/>
  <c r="M124" i="1"/>
  <c r="L146" i="1"/>
  <c r="J124" i="1"/>
  <c r="L124" i="1"/>
  <c r="K125" i="1"/>
  <c r="M125" i="1"/>
  <c r="R124" i="1"/>
  <c r="M147" i="1"/>
  <c r="R146" i="1"/>
  <c r="N145" i="1"/>
  <c r="N140" i="1"/>
  <c r="N120" i="1"/>
  <c r="N123" i="1" s="1"/>
  <c r="N115" i="1"/>
  <c r="N102" i="1"/>
  <c r="P54" i="1"/>
  <c r="O69" i="1"/>
  <c r="O71" i="1"/>
  <c r="P122" i="1" s="1"/>
  <c r="P140" i="1"/>
  <c r="N103" i="1"/>
  <c r="L125" i="1"/>
  <c r="O43" i="1"/>
  <c r="N44" i="1"/>
  <c r="O40" i="1"/>
  <c r="J146" i="1"/>
  <c r="L147" i="1"/>
  <c r="S146" i="1"/>
  <c r="O59" i="1"/>
  <c r="O42" i="1"/>
  <c r="P134" i="1" s="1"/>
  <c r="N72" i="1"/>
  <c r="P44" i="1"/>
  <c r="O116" i="1"/>
  <c r="O49" i="1"/>
  <c r="P135" i="1" s="1"/>
  <c r="O41" i="1"/>
  <c r="P103" i="1" s="1"/>
  <c r="N54" i="1"/>
  <c r="O60" i="1"/>
  <c r="O104" i="1" s="1"/>
  <c r="O68" i="1"/>
  <c r="P120" i="1" s="1"/>
  <c r="O70" i="1"/>
  <c r="O53" i="1"/>
  <c r="O117" i="1" s="1"/>
  <c r="K92" i="1"/>
  <c r="P72" i="1"/>
  <c r="K124" i="1"/>
  <c r="M146" i="1"/>
  <c r="K147" i="1"/>
  <c r="K146" i="1"/>
  <c r="N142" i="1" l="1"/>
  <c r="Q106" i="1"/>
  <c r="N106" i="1"/>
  <c r="N107" i="1" s="1"/>
  <c r="P115" i="1"/>
  <c r="O91" i="1"/>
  <c r="O90" i="1"/>
  <c r="O122" i="1"/>
  <c r="Q118" i="1"/>
  <c r="Q124" i="1" s="1"/>
  <c r="P116" i="1"/>
  <c r="P104" i="1"/>
  <c r="Q146" i="1"/>
  <c r="O121" i="1"/>
  <c r="P121" i="1"/>
  <c r="P123" i="1" s="1"/>
  <c r="P102" i="1"/>
  <c r="P106" i="1" s="1"/>
  <c r="P107" i="1" s="1"/>
  <c r="O144" i="1"/>
  <c r="P144" i="1"/>
  <c r="P145" i="1" s="1"/>
  <c r="P137" i="1"/>
  <c r="P136" i="1"/>
  <c r="P117" i="1"/>
  <c r="O105" i="1"/>
  <c r="N146" i="1"/>
  <c r="O154" i="1"/>
  <c r="O155" i="1" s="1"/>
  <c r="O156" i="1" s="1"/>
  <c r="O139" i="1"/>
  <c r="O134" i="1"/>
  <c r="O135" i="1"/>
  <c r="H164" i="1"/>
  <c r="J163" i="1"/>
  <c r="H163" i="1" s="1"/>
  <c r="L164" i="1"/>
  <c r="N164" i="1" s="1"/>
  <c r="U190" i="1" s="1"/>
  <c r="N92" i="1"/>
  <c r="K157" i="1"/>
  <c r="K148" i="1"/>
  <c r="K126" i="1"/>
  <c r="O103" i="1"/>
  <c r="O115" i="1"/>
  <c r="O140" i="1"/>
  <c r="O120" i="1"/>
  <c r="O102" i="1"/>
  <c r="O106" i="1" s="1"/>
  <c r="O107" i="1" s="1"/>
  <c r="N118" i="1"/>
  <c r="O54" i="1"/>
  <c r="O44" i="1"/>
  <c r="O72" i="1"/>
  <c r="O63" i="1"/>
  <c r="P142" i="1" l="1"/>
  <c r="P147" i="1" s="1"/>
  <c r="O142" i="1"/>
  <c r="P118" i="1"/>
  <c r="P125" i="1" s="1"/>
  <c r="N147" i="1"/>
  <c r="O145" i="1"/>
  <c r="O123" i="1"/>
  <c r="J165" i="1"/>
  <c r="L163" i="1"/>
  <c r="L165" i="1" s="1"/>
  <c r="O118" i="1"/>
  <c r="K108" i="1"/>
  <c r="N125" i="1"/>
  <c r="N124" i="1"/>
  <c r="P124" i="1" l="1"/>
  <c r="O124" i="1"/>
  <c r="O147" i="1"/>
  <c r="P146" i="1"/>
  <c r="O146" i="1"/>
  <c r="N163" i="1"/>
  <c r="N165" i="1" s="1"/>
  <c r="H165" i="1"/>
  <c r="P164" i="1" s="1"/>
  <c r="O125" i="1"/>
  <c r="P163" i="1" l="1"/>
  <c r="P165" i="1" s="1"/>
</calcChain>
</file>

<file path=xl/sharedStrings.xml><?xml version="1.0" encoding="utf-8"?>
<sst xmlns="http://schemas.openxmlformats.org/spreadsheetml/2006/main" count="381" uniqueCount="134">
  <si>
    <t xml:space="preserve">UNIVERSITATEA BABEŞ-BOLYAI CLUJ-NAPOCA
</t>
  </si>
  <si>
    <t>Şi:</t>
  </si>
  <si>
    <t>Activităţi didactice</t>
  </si>
  <si>
    <t>Sesiune de examene</t>
  </si>
  <si>
    <t>Vacanţă</t>
  </si>
  <si>
    <t>Sem I</t>
  </si>
  <si>
    <t>Sem II</t>
  </si>
  <si>
    <t>I</t>
  </si>
  <si>
    <t>V</t>
  </si>
  <si>
    <t>R</t>
  </si>
  <si>
    <t>Stagii de practică</t>
  </si>
  <si>
    <t xml:space="preserve">iarna </t>
  </si>
  <si>
    <t>prim</t>
  </si>
  <si>
    <t>vara</t>
  </si>
  <si>
    <t>Anul I</t>
  </si>
  <si>
    <t>Anul II</t>
  </si>
  <si>
    <t>II. DESFĂŞURAREA STUDIILOR (în număr de săptămani)</t>
  </si>
  <si>
    <r>
      <t xml:space="preserve">Forma de învăţământ: </t>
    </r>
    <r>
      <rPr>
        <b/>
        <sz val="10"/>
        <color indexed="8"/>
        <rFont val="Times New Roman"/>
        <family val="1"/>
      </rPr>
      <t>cu frecvenţă</t>
    </r>
  </si>
  <si>
    <t>L.P comasate</t>
  </si>
  <si>
    <t xml:space="preserve">III. NUMĂRUL ORELOR PE SĂPTĂMANĂ </t>
  </si>
  <si>
    <t>V. MODUL DE ALEGERE A DISCIPLINELOR OPŢIONALE</t>
  </si>
  <si>
    <t>VII. TABELUL DISCIPLINELOR</t>
  </si>
  <si>
    <t>Felul disciplinei</t>
  </si>
  <si>
    <t>Forme de evaluare</t>
  </si>
  <si>
    <t>Ore fizice săptămânale</t>
  </si>
  <si>
    <t>TOTAL</t>
  </si>
  <si>
    <t>DENUMIREA DISCIPLINELOR</t>
  </si>
  <si>
    <t>COD</t>
  </si>
  <si>
    <t>C</t>
  </si>
  <si>
    <t>S</t>
  </si>
  <si>
    <t>LP</t>
  </si>
  <si>
    <t>T</t>
  </si>
  <si>
    <t>E</t>
  </si>
  <si>
    <t>VP</t>
  </si>
  <si>
    <t>F</t>
  </si>
  <si>
    <t>Semestrul I</t>
  </si>
  <si>
    <t>Semestrul II</t>
  </si>
  <si>
    <t>DF</t>
  </si>
  <si>
    <t>DPD</t>
  </si>
  <si>
    <t>DS</t>
  </si>
  <si>
    <t>DC</t>
  </si>
  <si>
    <t>Credite ECTS</t>
  </si>
  <si>
    <t>Ore alocate studiului</t>
  </si>
  <si>
    <t>ANUL I, SEMESTRUL 1</t>
  </si>
  <si>
    <t>ANUL I, SEMESTRUL 2</t>
  </si>
  <si>
    <t>ANUL II, SEMESTRUL 3</t>
  </si>
  <si>
    <t>ANUL II, SEMESTRUL 4</t>
  </si>
  <si>
    <t>DISCIPLINE OPȚIONALE</t>
  </si>
  <si>
    <t>CURS OPȚIONAL 1 (An I, Semestrul 1)</t>
  </si>
  <si>
    <t>CURS OPȚIONAL 2 (An I, Semestrul 2)</t>
  </si>
  <si>
    <t>%</t>
  </si>
  <si>
    <t>TOTAL CREDITE / ORE PE SĂPTĂMÂNĂ / EVALUĂRI / PROCENT DIN TOTAL DISCIPLINE</t>
  </si>
  <si>
    <t xml:space="preserve">TOTAL ORE FIZICE / TOTAL ORE ALOCATE STUDIULUI </t>
  </si>
  <si>
    <t xml:space="preserve">Anexă la Planul de Învățământ specializarea / programul de studiu: </t>
  </si>
  <si>
    <t>DCOU</t>
  </si>
  <si>
    <t>DISCIPLINE DE PREGĂTIRE FUNDAMENTALĂ (DF)</t>
  </si>
  <si>
    <r>
      <t xml:space="preserve">DISCIPLINE DE PREGĂTIRE ÎN DOMENIUL LICENȚEI  (DPD)
</t>
    </r>
    <r>
      <rPr>
        <sz val="10"/>
        <color indexed="8"/>
        <rFont val="Times New Roman"/>
        <family val="1"/>
      </rPr>
      <t>(Numai pentru domeniile pentru care standardele specifice prevăd acest tip de disciplină: 
Științe inginerești, Științe economice, Arte, Educație fizică și sport, Științe sociale, politice și ale comunicării)</t>
    </r>
  </si>
  <si>
    <t>DISCIPLINE</t>
  </si>
  <si>
    <t>OBLIGATORII</t>
  </si>
  <si>
    <t>OPȚIONALE</t>
  </si>
  <si>
    <t>ORE FIZICE</t>
  </si>
  <si>
    <t>ORE ALOCATE STUDIULUI</t>
  </si>
  <si>
    <t>NR. DE CREDITE</t>
  </si>
  <si>
    <t>AN I</t>
  </si>
  <si>
    <t>AN II</t>
  </si>
  <si>
    <t>BILANȚ GENERAL</t>
  </si>
  <si>
    <r>
      <t xml:space="preserve">Durata studiilor: </t>
    </r>
    <r>
      <rPr>
        <b/>
        <sz val="10"/>
        <color indexed="8"/>
        <rFont val="Times New Roman"/>
        <family val="1"/>
      </rPr>
      <t>4 semestre</t>
    </r>
  </si>
  <si>
    <t>120 de credite din care:</t>
  </si>
  <si>
    <t>Semestrele 1 - 3 (14 săptămâni)</t>
  </si>
  <si>
    <t>Semestrul 4 (12 săptămâni)</t>
  </si>
  <si>
    <t>Semestrul  4 (12 săptămâni)</t>
  </si>
  <si>
    <t>I. CERINŢE PENTRU OBŢINEREA DIPLOMEI DE MASTER</t>
  </si>
  <si>
    <r>
      <rPr>
        <b/>
        <sz val="10"/>
        <color indexed="8"/>
        <rFont val="Times New Roman"/>
        <family val="1"/>
      </rPr>
      <t>10</t>
    </r>
    <r>
      <rPr>
        <sz val="10"/>
        <color indexed="8"/>
        <rFont val="Times New Roman"/>
        <family val="1"/>
      </rPr>
      <t xml:space="preserve"> credite la examenul de susținere a disertației</t>
    </r>
  </si>
  <si>
    <t>În contul a cel mult 3 discipline opţionale generale, studentul are dreptul să aleagă 3 discipline de la alte specializări ale facultăţilor din Universitatea „Babeş-Bolyai”.</t>
  </si>
  <si>
    <r>
      <t xml:space="preserve">Titlul absolventului: </t>
    </r>
    <r>
      <rPr>
        <b/>
        <sz val="10"/>
        <color indexed="8"/>
        <rFont val="Times New Roman"/>
        <family val="1"/>
        <charset val="238"/>
      </rPr>
      <t>Master's Degree</t>
    </r>
  </si>
  <si>
    <t>DISCIPLINE DE SPECIALITATE (DS)</t>
  </si>
  <si>
    <t>DISCIPLINE COMPLEMENTARE (DC)</t>
  </si>
  <si>
    <t>UMR1161</t>
  </si>
  <si>
    <t>Proceduri electorale şi legislative în Romania</t>
  </si>
  <si>
    <t>UMR1162</t>
  </si>
  <si>
    <t>UME1101</t>
  </si>
  <si>
    <t>Curs optional 1</t>
  </si>
  <si>
    <t>UMR1265</t>
  </si>
  <si>
    <t>Comunicare politică</t>
  </si>
  <si>
    <t>Analiza programelor politice</t>
  </si>
  <si>
    <t>Drept internațional și european contemporan</t>
  </si>
  <si>
    <t>UMR1267</t>
  </si>
  <si>
    <t>UMR2207</t>
  </si>
  <si>
    <t>Analiza politicilor publice</t>
  </si>
  <si>
    <t>Practica de specialitate</t>
  </si>
  <si>
    <t>UMR1369</t>
  </si>
  <si>
    <t>Organizații politice</t>
  </si>
  <si>
    <t>Integritate publică.Regimul constituțional al incompatibilităților și conflictelor de interese</t>
  </si>
  <si>
    <t>Managementul oraganizațiilor internațioanle și implementarea dreptului la apă</t>
  </si>
  <si>
    <t>EME248</t>
  </si>
  <si>
    <t>Politici economice europene (engleză)</t>
  </si>
  <si>
    <t>UMR1474</t>
  </si>
  <si>
    <t>UMX1172</t>
  </si>
  <si>
    <t xml:space="preserve">Curs nenominalizat oferite de alte secții sau facultăți </t>
  </si>
  <si>
    <t>UMX1173</t>
  </si>
  <si>
    <t>1*</t>
  </si>
  <si>
    <t xml:space="preserve">*Stagiul de practică se suprapune peste activitatea didactică </t>
  </si>
  <si>
    <r>
      <rPr>
        <b/>
        <sz val="10"/>
        <color indexed="8"/>
        <rFont val="Times New Roman"/>
        <family val="1"/>
      </rPr>
      <t>IV.EXAMENUL DE DISERTAȚIE</t>
    </r>
    <r>
      <rPr>
        <sz val="10"/>
        <color indexed="8"/>
        <rFont val="Times New Roman"/>
        <family val="1"/>
      </rPr>
      <t xml:space="preserve"> - perioada 29 iunie -5 iulie
Proba 1: Prezentarea şi susţinerea lucrării de disertație - 10 credite
</t>
    </r>
  </si>
  <si>
    <r>
      <rPr>
        <b/>
        <sz val="10"/>
        <color indexed="8"/>
        <rFont val="Times New Roman"/>
        <family val="1"/>
      </rPr>
      <t>VI.  UNIVERSITĂŢI EUROPENE DE REFERINŢĂ:</t>
    </r>
    <r>
      <rPr>
        <sz val="10"/>
        <color indexed="8"/>
        <rFont val="Times New Roman"/>
        <family val="1"/>
      </rPr>
      <t xml:space="preserve">
UNIVERSITATEA UTRECHT, OLANDA. UNIVERSITATEA LIBERA, AMSTERDAM, OLANDA. CENTRAL EUROPEAN UNIVERSITY, BUDAPESTA, UNGARIA.                                                                       </t>
    </r>
  </si>
  <si>
    <t>FACULTATEA DE ȘTIINȚE POLITICE, ADMINISTRATIVE ȘI ALE COMUNICĂRII</t>
  </si>
  <si>
    <t>PLAN DE ÎNVĂŢĂMÂNT  valabil începând din anul universitar 2015-2016</t>
  </si>
  <si>
    <t>Domeniul: ȘTIINȚE POLITICE</t>
  </si>
  <si>
    <t>Specializarea/Programul de studiu: MANAGEMENTUL ORGANIZAȚIILOR POLITICE</t>
  </si>
  <si>
    <t>Limba de predare: ROMÂNĂ</t>
  </si>
  <si>
    <t>Management și leadership în organizații (engleză)</t>
  </si>
  <si>
    <t>Introducere în metodologia cercetării (engleză)</t>
  </si>
  <si>
    <t>Strategii de lobby și advocacy (engleză)</t>
  </si>
  <si>
    <t>Organizații și drepturile omului (engleză)</t>
  </si>
  <si>
    <t>UMR1263</t>
  </si>
  <si>
    <t>UMR1264</t>
  </si>
  <si>
    <t>UMR1368</t>
  </si>
  <si>
    <t>Teoria jocurilor (engleză)</t>
  </si>
  <si>
    <t>Curs Optional 3</t>
  </si>
  <si>
    <t>Curs optional 2</t>
  </si>
  <si>
    <t>UMR170</t>
  </si>
  <si>
    <t>UMR14721</t>
  </si>
  <si>
    <t>UME2317</t>
  </si>
  <si>
    <t>Seminar de cercetare pentru scrierea dizertației (engleză)</t>
  </si>
  <si>
    <t xml:space="preserve">                        CURS OPȚIONAL 3  (An II, Semestrul  3)</t>
  </si>
  <si>
    <t>UMR2210</t>
  </si>
  <si>
    <t>Etica în administrația publică</t>
  </si>
  <si>
    <r>
      <rPr>
        <b/>
        <sz val="10"/>
        <color indexed="8"/>
        <rFont val="Times New Roman"/>
        <family val="1"/>
      </rPr>
      <t xml:space="preserve">   102 </t>
    </r>
    <r>
      <rPr>
        <sz val="10"/>
        <color indexed="8"/>
        <rFont val="Times New Roman"/>
        <family val="1"/>
      </rPr>
      <t>de credite la disciplinele obligatorii;</t>
    </r>
  </si>
  <si>
    <r>
      <rPr>
        <b/>
        <sz val="10"/>
        <color indexed="8"/>
        <rFont val="Times New Roman"/>
        <family val="1"/>
      </rPr>
      <t xml:space="preserve">   18</t>
    </r>
    <r>
      <rPr>
        <sz val="10"/>
        <color indexed="8"/>
        <rFont val="Times New Roman"/>
        <family val="1"/>
      </rPr>
      <t xml:space="preserve"> credite la disciplinele opţionale;</t>
    </r>
  </si>
  <si>
    <t>UME1309</t>
  </si>
  <si>
    <t>UMX1174</t>
  </si>
  <si>
    <t>Sem. 2. Se alege  o disciplină din pachetul: UMX1173</t>
  </si>
  <si>
    <t xml:space="preserve">Sem. 1: Se alege  o disciplină din pachetul: UMX1172 </t>
  </si>
  <si>
    <t>Sem. 3. Se alege  o disciplină din pachetul: UMX1174</t>
  </si>
  <si>
    <t>Lipsă procent, vă rog să calculați conform instrucțiunilor primite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</si>
</sst>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Calibri"/>
      <family val="2"/>
      <charset val="238"/>
    </font>
    <font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indexed="8"/>
      <name val="Times New Roman"/>
      <family val="1"/>
      <charset val="238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/>
    <xf numFmtId="1" fontId="2" fillId="0" borderId="1" xfId="0" applyNumberFormat="1" applyFont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  <protection locked="0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1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1" fillId="0" borderId="0" xfId="0" applyFont="1" applyProtection="1">
      <protection locked="0"/>
    </xf>
    <xf numFmtId="0" fontId="13" fillId="3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3" fillId="0" borderId="0" xfId="0" applyFont="1" applyProtection="1">
      <protection locked="0"/>
    </xf>
    <xf numFmtId="0" fontId="1" fillId="4" borderId="0" xfId="0" applyFont="1" applyFill="1" applyProtection="1">
      <protection locked="0"/>
    </xf>
    <xf numFmtId="0" fontId="12" fillId="4" borderId="0" xfId="0" applyFont="1" applyFill="1" applyProtection="1">
      <protection locked="0"/>
    </xf>
    <xf numFmtId="0" fontId="12" fillId="4" borderId="14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Border="1" applyAlignment="1" applyProtection="1">
      <alignment horizontal="left" vertical="center"/>
      <protection locked="0"/>
    </xf>
    <xf numFmtId="0" fontId="1" fillId="0" borderId="14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14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Alignment="1" applyProtection="1">
      <alignment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2" fontId="1" fillId="0" borderId="9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/>
    </xf>
    <xf numFmtId="2" fontId="1" fillId="0" borderId="8" xfId="0" applyNumberFormat="1" applyFont="1" applyBorder="1" applyAlignment="1" applyProtection="1">
      <alignment horizontal="center" vertical="center"/>
    </xf>
    <xf numFmtId="1" fontId="14" fillId="0" borderId="2" xfId="0" applyNumberFormat="1" applyFont="1" applyBorder="1" applyAlignment="1" applyProtection="1">
      <alignment horizontal="center" vertical="center"/>
    </xf>
    <xf numFmtId="1" fontId="14" fillId="0" borderId="5" xfId="0" applyNumberFormat="1" applyFont="1" applyBorder="1" applyAlignment="1" applyProtection="1">
      <alignment horizontal="center" vertical="center"/>
    </xf>
    <xf numFmtId="1" fontId="14" fillId="0" borderId="6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5" xfId="0" applyNumberFormat="1" applyFont="1" applyBorder="1" applyAlignment="1" applyProtection="1">
      <alignment horizontal="center" vertical="center"/>
      <protection locked="0"/>
    </xf>
    <xf numFmtId="1" fontId="2" fillId="0" borderId="6" xfId="0" applyNumberFormat="1" applyFont="1" applyBorder="1" applyAlignment="1" applyProtection="1">
      <alignment horizontal="center" vertical="center"/>
      <protection locked="0"/>
    </xf>
    <xf numFmtId="1" fontId="1" fillId="3" borderId="2" xfId="0" applyNumberFormat="1" applyFont="1" applyFill="1" applyBorder="1" applyAlignment="1" applyProtection="1">
      <alignment horizontal="left" vertical="center"/>
      <protection locked="0"/>
    </xf>
    <xf numFmtId="1" fontId="1" fillId="3" borderId="5" xfId="0" applyNumberFormat="1" applyFont="1" applyFill="1" applyBorder="1" applyAlignment="1" applyProtection="1">
      <alignment horizontal="left" vertical="center"/>
      <protection locked="0"/>
    </xf>
    <xf numFmtId="1" fontId="1" fillId="3" borderId="6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3" borderId="2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/>
    </xf>
    <xf numFmtId="1" fontId="2" fillId="0" borderId="5" xfId="0" applyNumberFormat="1" applyFont="1" applyBorder="1" applyAlignment="1" applyProtection="1">
      <alignment horizontal="center"/>
    </xf>
    <xf numFmtId="1" fontId="2" fillId="0" borderId="6" xfId="0" applyNumberFormat="1" applyFont="1" applyBorder="1" applyAlignment="1" applyProtection="1">
      <alignment horizontal="center"/>
    </xf>
    <xf numFmtId="0" fontId="1" fillId="0" borderId="1" xfId="0" applyFont="1" applyBorder="1" applyProtection="1">
      <protection locked="0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1" fontId="14" fillId="0" borderId="2" xfId="0" applyNumberFormat="1" applyFont="1" applyBorder="1" applyAlignment="1" applyProtection="1">
      <alignment horizontal="center"/>
    </xf>
    <xf numFmtId="1" fontId="14" fillId="0" borderId="5" xfId="0" applyNumberFormat="1" applyFont="1" applyBorder="1" applyAlignment="1" applyProtection="1">
      <alignment horizontal="center"/>
    </xf>
    <xf numFmtId="1" fontId="14" fillId="0" borderId="6" xfId="0" applyNumberFormat="1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9" fontId="8" fillId="0" borderId="2" xfId="0" applyNumberFormat="1" applyFont="1" applyBorder="1" applyAlignment="1" applyProtection="1">
      <alignment horizontal="center" vertical="center"/>
    </xf>
    <xf numFmtId="9" fontId="8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/>
    </xf>
    <xf numFmtId="9" fontId="9" fillId="0" borderId="2" xfId="0" applyNumberFormat="1" applyFont="1" applyBorder="1" applyAlignment="1" applyProtection="1">
      <alignment horizontal="center"/>
    </xf>
    <xf numFmtId="9" fontId="9" fillId="0" borderId="6" xfId="0" applyNumberFormat="1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1" fontId="13" fillId="0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9" fontId="2" fillId="3" borderId="3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</cellXfs>
  <cellStyles count="1">
    <cellStyle name="Normal" xfId="0" builtinId="0"/>
  </cellStyles>
  <dxfs count="29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"/>
  <sheetViews>
    <sheetView tabSelected="1" view="pageLayout" topLeftCell="A16" zoomScaleNormal="100" workbookViewId="0">
      <selection activeCell="U124" sqref="U124:Z124"/>
    </sheetView>
  </sheetViews>
  <sheetFormatPr defaultColWidth="9.140625" defaultRowHeight="12.75" x14ac:dyDescent="0.2"/>
  <cols>
    <col min="1" max="1" width="9.28515625" style="1" customWidth="1"/>
    <col min="2" max="2" width="7.140625" style="1" customWidth="1"/>
    <col min="3" max="3" width="7.28515625" style="1" customWidth="1"/>
    <col min="4" max="4" width="5.7109375" style="1" customWidth="1"/>
    <col min="5" max="5" width="6" style="1" customWidth="1"/>
    <col min="6" max="6" width="5.42578125" style="1" customWidth="1"/>
    <col min="7" max="7" width="8.140625" style="1" customWidth="1"/>
    <col min="8" max="8" width="8.28515625" style="1" customWidth="1"/>
    <col min="9" max="9" width="6.7109375" style="1" customWidth="1"/>
    <col min="10" max="10" width="8.5703125" style="1" customWidth="1"/>
    <col min="11" max="11" width="5.7109375" style="1" customWidth="1"/>
    <col min="12" max="12" width="6.7109375" style="1" customWidth="1"/>
    <col min="13" max="13" width="5.5703125" style="1" customWidth="1"/>
    <col min="14" max="14" width="6" style="1" customWidth="1"/>
    <col min="15" max="15" width="5.85546875" style="1" customWidth="1"/>
    <col min="16" max="16" width="6" style="1" customWidth="1"/>
    <col min="17" max="17" width="5.28515625" style="1" customWidth="1"/>
    <col min="18" max="19" width="5.42578125" style="1" customWidth="1"/>
    <col min="20" max="20" width="10.85546875" style="1" customWidth="1"/>
    <col min="21" max="16384" width="9.140625" style="1"/>
  </cols>
  <sheetData>
    <row r="1" spans="1:24" ht="15.75" customHeight="1" x14ac:dyDescent="0.2">
      <c r="A1" s="138" t="s">
        <v>105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M1" s="149" t="s">
        <v>19</v>
      </c>
      <c r="N1" s="149"/>
      <c r="O1" s="149"/>
      <c r="P1" s="149"/>
      <c r="Q1" s="149"/>
      <c r="R1" s="149"/>
      <c r="S1" s="149"/>
      <c r="T1" s="149"/>
    </row>
    <row r="2" spans="1:24" ht="6.75" customHeight="1" x14ac:dyDescent="0.2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24" ht="18" customHeight="1" x14ac:dyDescent="0.2">
      <c r="A3" s="148" t="s">
        <v>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M3" s="152"/>
      <c r="N3" s="153"/>
      <c r="O3" s="130" t="s">
        <v>35</v>
      </c>
      <c r="P3" s="131"/>
      <c r="Q3" s="132"/>
      <c r="R3" s="130" t="s">
        <v>36</v>
      </c>
      <c r="S3" s="131"/>
      <c r="T3" s="132"/>
      <c r="U3" s="44"/>
      <c r="V3" s="45"/>
      <c r="W3" s="45"/>
      <c r="X3" s="45"/>
    </row>
    <row r="4" spans="1:24" ht="17.25" customHeight="1" x14ac:dyDescent="0.2">
      <c r="A4" s="148" t="s">
        <v>104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M4" s="143" t="s">
        <v>14</v>
      </c>
      <c r="N4" s="144"/>
      <c r="O4" s="140">
        <v>20</v>
      </c>
      <c r="P4" s="141"/>
      <c r="Q4" s="142"/>
      <c r="R4" s="140">
        <v>21</v>
      </c>
      <c r="S4" s="141"/>
      <c r="T4" s="142"/>
      <c r="U4" s="44"/>
      <c r="V4" s="45"/>
      <c r="W4" s="45"/>
      <c r="X4" s="45"/>
    </row>
    <row r="5" spans="1:24" ht="16.5" customHeight="1" x14ac:dyDescent="0.2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M5" s="143" t="s">
        <v>15</v>
      </c>
      <c r="N5" s="144"/>
      <c r="O5" s="140">
        <v>20</v>
      </c>
      <c r="P5" s="141"/>
      <c r="Q5" s="142"/>
      <c r="R5" s="140">
        <v>20</v>
      </c>
      <c r="S5" s="141"/>
      <c r="T5" s="142"/>
      <c r="U5" s="44"/>
      <c r="V5" s="45"/>
      <c r="W5" s="45"/>
      <c r="X5" s="45"/>
    </row>
    <row r="6" spans="1:24" ht="15" customHeight="1" x14ac:dyDescent="0.2">
      <c r="A6" s="139" t="s">
        <v>106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M6" s="145"/>
      <c r="N6" s="145"/>
      <c r="O6" s="124"/>
      <c r="P6" s="124"/>
      <c r="Q6" s="124"/>
      <c r="R6" s="124"/>
      <c r="S6" s="124"/>
      <c r="T6" s="124"/>
      <c r="U6" s="44"/>
      <c r="V6" s="45"/>
      <c r="W6" s="45"/>
      <c r="X6" s="45"/>
    </row>
    <row r="7" spans="1:24" ht="18" customHeight="1" x14ac:dyDescent="0.2">
      <c r="A7" s="125" t="s">
        <v>107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24" ht="18.75" customHeight="1" x14ac:dyDescent="0.2">
      <c r="A8" s="126" t="s">
        <v>108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M8" s="125" t="s">
        <v>102</v>
      </c>
      <c r="N8" s="125"/>
      <c r="O8" s="125"/>
      <c r="P8" s="125"/>
      <c r="Q8" s="125"/>
      <c r="R8" s="125"/>
      <c r="S8" s="125"/>
      <c r="T8" s="125"/>
    </row>
    <row r="9" spans="1:24" ht="15" customHeight="1" x14ac:dyDescent="0.2">
      <c r="A9" s="126" t="s">
        <v>74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M9" s="125"/>
      <c r="N9" s="125"/>
      <c r="O9" s="125"/>
      <c r="P9" s="125"/>
      <c r="Q9" s="125"/>
      <c r="R9" s="125"/>
      <c r="S9" s="125"/>
      <c r="T9" s="125"/>
    </row>
    <row r="10" spans="1:24" ht="16.5" customHeight="1" x14ac:dyDescent="0.2">
      <c r="A10" s="126" t="s">
        <v>66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M10" s="125"/>
      <c r="N10" s="125"/>
      <c r="O10" s="125"/>
      <c r="P10" s="125"/>
      <c r="Q10" s="125"/>
      <c r="R10" s="125"/>
      <c r="S10" s="125"/>
      <c r="T10" s="125"/>
    </row>
    <row r="11" spans="1:24" x14ac:dyDescent="0.2">
      <c r="A11" s="126" t="s">
        <v>17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M11" s="125"/>
      <c r="N11" s="125"/>
      <c r="O11" s="125"/>
      <c r="P11" s="125"/>
      <c r="Q11" s="125"/>
      <c r="R11" s="125"/>
      <c r="S11" s="125"/>
      <c r="T11" s="125"/>
    </row>
    <row r="12" spans="1:24" ht="10.5" customHeight="1" x14ac:dyDescent="0.2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M12" s="2"/>
      <c r="N12" s="2"/>
      <c r="O12" s="2"/>
      <c r="P12" s="2"/>
      <c r="Q12" s="2"/>
      <c r="R12" s="2"/>
    </row>
    <row r="13" spans="1:24" x14ac:dyDescent="0.2">
      <c r="A13" s="134" t="s">
        <v>71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M13" s="147" t="s">
        <v>20</v>
      </c>
      <c r="N13" s="147"/>
      <c r="O13" s="147"/>
      <c r="P13" s="147"/>
      <c r="Q13" s="147"/>
      <c r="R13" s="147"/>
      <c r="S13" s="147"/>
      <c r="T13" s="147"/>
    </row>
    <row r="14" spans="1:24" ht="12.75" customHeight="1" x14ac:dyDescent="0.2">
      <c r="A14" s="134" t="s">
        <v>67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M14" s="122" t="s">
        <v>131</v>
      </c>
      <c r="N14" s="123"/>
      <c r="O14" s="123"/>
      <c r="P14" s="123"/>
      <c r="Q14" s="123"/>
      <c r="R14" s="123"/>
      <c r="S14" s="123"/>
      <c r="T14" s="123"/>
      <c r="U14" s="49"/>
    </row>
    <row r="15" spans="1:24" ht="12.75" customHeight="1" x14ac:dyDescent="0.2">
      <c r="A15" s="126" t="s">
        <v>126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M15" s="122" t="s">
        <v>130</v>
      </c>
      <c r="N15" s="123"/>
      <c r="O15" s="123"/>
      <c r="P15" s="123"/>
      <c r="Q15" s="123"/>
      <c r="R15" s="123"/>
      <c r="S15" s="123"/>
      <c r="T15" s="123"/>
      <c r="U15" s="49"/>
    </row>
    <row r="16" spans="1:24" ht="12.75" customHeight="1" x14ac:dyDescent="0.2">
      <c r="A16" s="126" t="s">
        <v>127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M16" s="122" t="s">
        <v>132</v>
      </c>
      <c r="N16" s="123"/>
      <c r="O16" s="123"/>
      <c r="P16" s="123"/>
      <c r="Q16" s="123"/>
      <c r="R16" s="123"/>
      <c r="S16" s="123"/>
      <c r="T16" s="123"/>
      <c r="U16" s="49"/>
    </row>
    <row r="17" spans="1:22" ht="12.75" customHeight="1" x14ac:dyDescent="0.2">
      <c r="A17" s="126" t="s">
        <v>1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M17" s="146"/>
      <c r="N17" s="146"/>
      <c r="O17" s="146"/>
      <c r="P17" s="146"/>
      <c r="Q17" s="146"/>
      <c r="R17" s="146"/>
      <c r="S17" s="146"/>
      <c r="T17" s="146"/>
      <c r="U17" s="49"/>
    </row>
    <row r="18" spans="1:22" ht="14.25" customHeight="1" x14ac:dyDescent="0.2">
      <c r="A18" s="126" t="s">
        <v>72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M18" s="53"/>
      <c r="N18" s="122"/>
      <c r="O18" s="123"/>
      <c r="P18" s="123"/>
      <c r="Q18" s="123"/>
      <c r="R18" s="123"/>
      <c r="S18" s="123"/>
      <c r="T18" s="123"/>
      <c r="U18" s="123"/>
    </row>
    <row r="19" spans="1:22" x14ac:dyDescent="0.2">
      <c r="A19" s="126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M19" s="146"/>
      <c r="N19" s="146"/>
      <c r="O19" s="146"/>
      <c r="P19" s="146"/>
      <c r="Q19" s="146"/>
      <c r="R19" s="146"/>
      <c r="S19" s="146"/>
      <c r="T19" s="146"/>
    </row>
    <row r="20" spans="1:22" ht="7.5" customHeight="1" x14ac:dyDescent="0.2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M20" s="2"/>
      <c r="N20" s="2"/>
      <c r="O20" s="2"/>
      <c r="P20" s="2"/>
      <c r="Q20" s="2"/>
      <c r="R20" s="2"/>
    </row>
    <row r="21" spans="1:22" ht="15" customHeight="1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M21" s="129" t="s">
        <v>73</v>
      </c>
      <c r="N21" s="129"/>
      <c r="O21" s="129"/>
      <c r="P21" s="129"/>
      <c r="Q21" s="129"/>
      <c r="R21" s="129"/>
      <c r="S21" s="129"/>
      <c r="T21" s="129"/>
    </row>
    <row r="22" spans="1:22" ht="15" customHeight="1" x14ac:dyDescent="0.2">
      <c r="A22" s="128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M22" s="129"/>
      <c r="N22" s="129"/>
      <c r="O22" s="129"/>
      <c r="P22" s="129"/>
      <c r="Q22" s="129"/>
      <c r="R22" s="129"/>
      <c r="S22" s="129"/>
      <c r="T22" s="129"/>
    </row>
    <row r="23" spans="1:22" ht="13.5" customHeight="1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M23" s="129"/>
      <c r="N23" s="129"/>
      <c r="O23" s="129"/>
      <c r="P23" s="129"/>
      <c r="Q23" s="129"/>
      <c r="R23" s="129"/>
      <c r="S23" s="129"/>
      <c r="T23" s="129"/>
    </row>
    <row r="24" spans="1:22" ht="6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M24" s="3"/>
      <c r="N24" s="3"/>
      <c r="O24" s="3"/>
      <c r="P24" s="3"/>
      <c r="Q24" s="3"/>
      <c r="R24" s="3"/>
    </row>
    <row r="25" spans="1:22" ht="12.75" customHeight="1" x14ac:dyDescent="0.2">
      <c r="A25" s="133" t="s">
        <v>16</v>
      </c>
      <c r="B25" s="133"/>
      <c r="C25" s="133"/>
      <c r="D25" s="133"/>
      <c r="E25" s="133"/>
      <c r="F25" s="133"/>
      <c r="G25" s="133"/>
      <c r="M25" s="127" t="s">
        <v>103</v>
      </c>
      <c r="N25" s="127"/>
      <c r="O25" s="127"/>
      <c r="P25" s="127"/>
      <c r="Q25" s="127"/>
      <c r="R25" s="127"/>
      <c r="S25" s="127"/>
      <c r="T25" s="127"/>
    </row>
    <row r="26" spans="1:22" ht="26.25" customHeight="1" x14ac:dyDescent="0.2">
      <c r="A26" s="4"/>
      <c r="B26" s="130" t="s">
        <v>2</v>
      </c>
      <c r="C26" s="132"/>
      <c r="D26" s="130" t="s">
        <v>3</v>
      </c>
      <c r="E26" s="131"/>
      <c r="F26" s="132"/>
      <c r="G26" s="97" t="s">
        <v>18</v>
      </c>
      <c r="H26" s="97" t="s">
        <v>10</v>
      </c>
      <c r="I26" s="130" t="s">
        <v>4</v>
      </c>
      <c r="J26" s="131"/>
      <c r="K26" s="132"/>
      <c r="M26" s="127"/>
      <c r="N26" s="127"/>
      <c r="O26" s="127"/>
      <c r="P26" s="127"/>
      <c r="Q26" s="127"/>
      <c r="R26" s="127"/>
      <c r="S26" s="127"/>
      <c r="T26" s="127"/>
    </row>
    <row r="27" spans="1:22" ht="14.25" customHeight="1" x14ac:dyDescent="0.2">
      <c r="A27" s="4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98"/>
      <c r="H27" s="98"/>
      <c r="I27" s="5" t="s">
        <v>11</v>
      </c>
      <c r="J27" s="5" t="s">
        <v>12</v>
      </c>
      <c r="K27" s="5" t="s">
        <v>13</v>
      </c>
      <c r="M27" s="127"/>
      <c r="N27" s="127"/>
      <c r="O27" s="127"/>
      <c r="P27" s="127"/>
      <c r="Q27" s="127"/>
      <c r="R27" s="127"/>
      <c r="S27" s="127"/>
      <c r="T27" s="127"/>
    </row>
    <row r="28" spans="1:22" ht="17.25" customHeight="1" x14ac:dyDescent="0.2">
      <c r="A28" s="6" t="s">
        <v>14</v>
      </c>
      <c r="B28" s="7">
        <v>14</v>
      </c>
      <c r="C28" s="7">
        <v>14</v>
      </c>
      <c r="D28" s="26">
        <v>3</v>
      </c>
      <c r="E28" s="26">
        <v>3</v>
      </c>
      <c r="F28" s="26">
        <v>2</v>
      </c>
      <c r="G28" s="26"/>
      <c r="H28" s="43" t="s">
        <v>100</v>
      </c>
      <c r="I28" s="26">
        <v>3</v>
      </c>
      <c r="J28" s="26">
        <v>1</v>
      </c>
      <c r="K28" s="26">
        <v>12</v>
      </c>
      <c r="M28" s="127"/>
      <c r="N28" s="127"/>
      <c r="O28" s="127"/>
      <c r="P28" s="127"/>
      <c r="Q28" s="127"/>
      <c r="R28" s="127"/>
      <c r="S28" s="127"/>
      <c r="T28" s="127"/>
      <c r="U28" s="62" t="str">
        <f t="shared" ref="U28" si="0">IF(SUM(B28:K28)=52,"Corect","Suma trebuie să fie 52")</f>
        <v>Corect</v>
      </c>
      <c r="V28" s="62"/>
    </row>
    <row r="29" spans="1:22" ht="15" customHeight="1" x14ac:dyDescent="0.2">
      <c r="A29" s="6" t="s">
        <v>15</v>
      </c>
      <c r="B29" s="7">
        <v>14</v>
      </c>
      <c r="C29" s="7">
        <v>12</v>
      </c>
      <c r="D29" s="26">
        <v>3</v>
      </c>
      <c r="E29" s="26">
        <v>3</v>
      </c>
      <c r="F29" s="26">
        <v>2</v>
      </c>
      <c r="G29" s="26"/>
      <c r="H29" s="26">
        <v>1</v>
      </c>
      <c r="I29" s="26">
        <v>3</v>
      </c>
      <c r="J29" s="26">
        <v>1</v>
      </c>
      <c r="K29" s="26">
        <v>13</v>
      </c>
      <c r="M29" s="127"/>
      <c r="N29" s="127"/>
      <c r="O29" s="127"/>
      <c r="P29" s="127"/>
      <c r="Q29" s="127"/>
      <c r="R29" s="127"/>
      <c r="S29" s="127"/>
      <c r="T29" s="127"/>
      <c r="U29" s="62" t="str">
        <f t="shared" ref="U29" si="1">IF(SUM(B29:K29)=52,"Corect","Suma trebuie să fie 52")</f>
        <v>Corect</v>
      </c>
      <c r="V29" s="62"/>
    </row>
    <row r="30" spans="1:22" ht="15.75" customHeight="1" x14ac:dyDescent="0.2">
      <c r="A30" s="37"/>
      <c r="B30" s="35"/>
      <c r="C30" s="35"/>
      <c r="D30" s="35"/>
      <c r="E30" s="35"/>
      <c r="F30" s="35"/>
      <c r="G30" s="35"/>
      <c r="H30" s="35"/>
      <c r="I30" s="35"/>
      <c r="J30" s="35"/>
      <c r="K30" s="38"/>
      <c r="M30" s="127"/>
      <c r="N30" s="127"/>
      <c r="O30" s="127"/>
      <c r="P30" s="127"/>
      <c r="Q30" s="127"/>
      <c r="R30" s="127"/>
      <c r="S30" s="127"/>
      <c r="T30" s="127"/>
    </row>
    <row r="31" spans="1:22" ht="21" customHeight="1" x14ac:dyDescent="0.2">
      <c r="A31" s="36"/>
      <c r="B31" s="36"/>
      <c r="C31" s="36"/>
      <c r="D31" s="36"/>
      <c r="E31" s="36"/>
      <c r="F31" s="36"/>
      <c r="G31" s="36"/>
      <c r="M31" s="127"/>
      <c r="N31" s="127"/>
      <c r="O31" s="127"/>
      <c r="P31" s="127"/>
      <c r="Q31" s="127"/>
      <c r="R31" s="127"/>
      <c r="S31" s="127"/>
      <c r="T31" s="127"/>
    </row>
    <row r="32" spans="1:22" ht="15" customHeight="1" x14ac:dyDescent="0.2">
      <c r="A32" s="1" t="s">
        <v>101</v>
      </c>
      <c r="B32" s="2"/>
      <c r="C32" s="2"/>
      <c r="D32" s="2"/>
      <c r="E32" s="2"/>
      <c r="F32" s="2"/>
      <c r="G32" s="2"/>
      <c r="M32" s="8"/>
      <c r="N32" s="8"/>
      <c r="O32" s="8"/>
      <c r="P32" s="8"/>
      <c r="Q32" s="8"/>
      <c r="R32" s="8"/>
      <c r="S32" s="8"/>
    </row>
    <row r="33" spans="1:23" x14ac:dyDescent="0.2">
      <c r="B33" s="8"/>
      <c r="C33" s="8"/>
      <c r="D33" s="8"/>
      <c r="E33" s="8"/>
      <c r="F33" s="8"/>
      <c r="G33" s="8"/>
      <c r="M33" s="8"/>
      <c r="N33" s="8"/>
      <c r="O33" s="8"/>
      <c r="P33" s="8"/>
      <c r="Q33" s="8"/>
      <c r="R33" s="8"/>
      <c r="S33" s="8"/>
    </row>
    <row r="35" spans="1:23" ht="16.5" customHeight="1" x14ac:dyDescent="0.2">
      <c r="A35" s="150" t="s">
        <v>21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</row>
    <row r="36" spans="1:23" ht="8.25" hidden="1" customHeight="1" x14ac:dyDescent="0.2">
      <c r="N36" s="9"/>
      <c r="O36" s="10" t="s">
        <v>37</v>
      </c>
      <c r="P36" s="10" t="s">
        <v>38</v>
      </c>
      <c r="Q36" s="10" t="s">
        <v>39</v>
      </c>
      <c r="R36" s="10" t="s">
        <v>40</v>
      </c>
      <c r="S36" s="10" t="s">
        <v>54</v>
      </c>
      <c r="T36" s="10"/>
    </row>
    <row r="37" spans="1:23" ht="17.25" customHeight="1" x14ac:dyDescent="0.2">
      <c r="A37" s="96" t="s">
        <v>43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</row>
    <row r="38" spans="1:23" ht="25.5" customHeight="1" x14ac:dyDescent="0.2">
      <c r="A38" s="106" t="s">
        <v>27</v>
      </c>
      <c r="B38" s="108" t="s">
        <v>26</v>
      </c>
      <c r="C38" s="109"/>
      <c r="D38" s="109"/>
      <c r="E38" s="109"/>
      <c r="F38" s="109"/>
      <c r="G38" s="109"/>
      <c r="H38" s="109"/>
      <c r="I38" s="110"/>
      <c r="J38" s="97" t="s">
        <v>41</v>
      </c>
      <c r="K38" s="99" t="s">
        <v>24</v>
      </c>
      <c r="L38" s="100"/>
      <c r="M38" s="101"/>
      <c r="N38" s="99" t="s">
        <v>42</v>
      </c>
      <c r="O38" s="103"/>
      <c r="P38" s="104"/>
      <c r="Q38" s="99" t="s">
        <v>23</v>
      </c>
      <c r="R38" s="100"/>
      <c r="S38" s="101"/>
      <c r="T38" s="105" t="s">
        <v>22</v>
      </c>
    </row>
    <row r="39" spans="1:23" ht="13.5" customHeight="1" x14ac:dyDescent="0.2">
      <c r="A39" s="107"/>
      <c r="B39" s="111"/>
      <c r="C39" s="92"/>
      <c r="D39" s="92"/>
      <c r="E39" s="92"/>
      <c r="F39" s="92"/>
      <c r="G39" s="92"/>
      <c r="H39" s="92"/>
      <c r="I39" s="112"/>
      <c r="J39" s="98"/>
      <c r="K39" s="5" t="s">
        <v>28</v>
      </c>
      <c r="L39" s="5" t="s">
        <v>29</v>
      </c>
      <c r="M39" s="5" t="s">
        <v>30</v>
      </c>
      <c r="N39" s="5" t="s">
        <v>34</v>
      </c>
      <c r="O39" s="5" t="s">
        <v>7</v>
      </c>
      <c r="P39" s="5" t="s">
        <v>31</v>
      </c>
      <c r="Q39" s="5" t="s">
        <v>32</v>
      </c>
      <c r="R39" s="5" t="s">
        <v>28</v>
      </c>
      <c r="S39" s="5" t="s">
        <v>33</v>
      </c>
      <c r="T39" s="98"/>
    </row>
    <row r="40" spans="1:23" x14ac:dyDescent="0.2">
      <c r="A40" s="42" t="s">
        <v>77</v>
      </c>
      <c r="B40" s="93" t="s">
        <v>91</v>
      </c>
      <c r="C40" s="94"/>
      <c r="D40" s="94"/>
      <c r="E40" s="94"/>
      <c r="F40" s="94"/>
      <c r="G40" s="94"/>
      <c r="H40" s="94"/>
      <c r="I40" s="95"/>
      <c r="J40" s="11">
        <v>8</v>
      </c>
      <c r="K40" s="11">
        <v>2</v>
      </c>
      <c r="L40" s="11">
        <v>2</v>
      </c>
      <c r="M40" s="11">
        <v>2</v>
      </c>
      <c r="N40" s="19">
        <f>K40+L40+M40</f>
        <v>6</v>
      </c>
      <c r="O40" s="20">
        <f>P40-N40</f>
        <v>8</v>
      </c>
      <c r="P40" s="20">
        <f>ROUND(PRODUCT(J40,25)/14,0)</f>
        <v>14</v>
      </c>
      <c r="Q40" s="25" t="s">
        <v>32</v>
      </c>
      <c r="R40" s="11"/>
      <c r="S40" s="26"/>
      <c r="T40" s="11" t="s">
        <v>37</v>
      </c>
    </row>
    <row r="41" spans="1:23" x14ac:dyDescent="0.2">
      <c r="A41" s="31" t="s">
        <v>79</v>
      </c>
      <c r="B41" s="93" t="s">
        <v>109</v>
      </c>
      <c r="C41" s="94"/>
      <c r="D41" s="94"/>
      <c r="E41" s="94"/>
      <c r="F41" s="94"/>
      <c r="G41" s="94"/>
      <c r="H41" s="94"/>
      <c r="I41" s="95"/>
      <c r="J41" s="11">
        <v>8</v>
      </c>
      <c r="K41" s="11">
        <v>2</v>
      </c>
      <c r="L41" s="11">
        <v>2</v>
      </c>
      <c r="M41" s="11">
        <v>2</v>
      </c>
      <c r="N41" s="19">
        <f t="shared" ref="N41:N43" si="2">K41+L41+M41</f>
        <v>6</v>
      </c>
      <c r="O41" s="20">
        <f t="shared" ref="O41:O43" si="3">P41-N41</f>
        <v>8</v>
      </c>
      <c r="P41" s="20">
        <f t="shared" ref="P41:P43" si="4">ROUND(PRODUCT(J41,25)/14,0)</f>
        <v>14</v>
      </c>
      <c r="Q41" s="25" t="s">
        <v>32</v>
      </c>
      <c r="R41" s="11"/>
      <c r="S41" s="26"/>
      <c r="T41" s="11" t="s">
        <v>37</v>
      </c>
    </row>
    <row r="42" spans="1:23" x14ac:dyDescent="0.2">
      <c r="A42" s="31" t="s">
        <v>80</v>
      </c>
      <c r="B42" s="93" t="s">
        <v>110</v>
      </c>
      <c r="C42" s="94"/>
      <c r="D42" s="94"/>
      <c r="E42" s="94"/>
      <c r="F42" s="94"/>
      <c r="G42" s="94"/>
      <c r="H42" s="94"/>
      <c r="I42" s="95"/>
      <c r="J42" s="11">
        <v>8</v>
      </c>
      <c r="K42" s="11">
        <v>2</v>
      </c>
      <c r="L42" s="11">
        <v>2</v>
      </c>
      <c r="M42" s="11">
        <v>1</v>
      </c>
      <c r="N42" s="19">
        <f t="shared" si="2"/>
        <v>5</v>
      </c>
      <c r="O42" s="20">
        <f t="shared" si="3"/>
        <v>9</v>
      </c>
      <c r="P42" s="20">
        <f t="shared" si="4"/>
        <v>14</v>
      </c>
      <c r="Q42" s="25" t="s">
        <v>32</v>
      </c>
      <c r="R42" s="11"/>
      <c r="S42" s="26"/>
      <c r="T42" s="11" t="s">
        <v>39</v>
      </c>
    </row>
    <row r="43" spans="1:23" x14ac:dyDescent="0.2">
      <c r="A43" s="50" t="s">
        <v>97</v>
      </c>
      <c r="B43" s="135" t="s">
        <v>81</v>
      </c>
      <c r="C43" s="136"/>
      <c r="D43" s="136"/>
      <c r="E43" s="136"/>
      <c r="F43" s="136"/>
      <c r="G43" s="136"/>
      <c r="H43" s="136"/>
      <c r="I43" s="137"/>
      <c r="J43" s="11">
        <v>6</v>
      </c>
      <c r="K43" s="11">
        <v>2</v>
      </c>
      <c r="L43" s="11">
        <v>1</v>
      </c>
      <c r="M43" s="11">
        <v>0</v>
      </c>
      <c r="N43" s="19">
        <f t="shared" si="2"/>
        <v>3</v>
      </c>
      <c r="O43" s="20">
        <f t="shared" si="3"/>
        <v>8</v>
      </c>
      <c r="P43" s="20">
        <f t="shared" si="4"/>
        <v>11</v>
      </c>
      <c r="Q43" s="25" t="s">
        <v>32</v>
      </c>
      <c r="R43" s="11"/>
      <c r="S43" s="26"/>
      <c r="T43" s="11" t="s">
        <v>38</v>
      </c>
    </row>
    <row r="44" spans="1:23" x14ac:dyDescent="0.2">
      <c r="A44" s="22" t="s">
        <v>25</v>
      </c>
      <c r="B44" s="89"/>
      <c r="C44" s="90"/>
      <c r="D44" s="90"/>
      <c r="E44" s="90"/>
      <c r="F44" s="90"/>
      <c r="G44" s="90"/>
      <c r="H44" s="90"/>
      <c r="I44" s="91"/>
      <c r="J44" s="22">
        <f t="shared" ref="J44:P44" si="5">SUM(J40:J43)</f>
        <v>30</v>
      </c>
      <c r="K44" s="22">
        <f t="shared" si="5"/>
        <v>8</v>
      </c>
      <c r="L44" s="22">
        <f t="shared" si="5"/>
        <v>7</v>
      </c>
      <c r="M44" s="22">
        <f t="shared" si="5"/>
        <v>5</v>
      </c>
      <c r="N44" s="22">
        <f t="shared" si="5"/>
        <v>20</v>
      </c>
      <c r="O44" s="22">
        <f t="shared" si="5"/>
        <v>33</v>
      </c>
      <c r="P44" s="22">
        <f t="shared" si="5"/>
        <v>53</v>
      </c>
      <c r="Q44" s="22">
        <f>COUNTIF(Q40:Q43,"E")</f>
        <v>4</v>
      </c>
      <c r="R44" s="22">
        <f>COUNTIF(R40:R43,"C")</f>
        <v>0</v>
      </c>
      <c r="S44" s="22">
        <f>COUNTIF(S40:S43,"VP")</f>
        <v>0</v>
      </c>
      <c r="T44" s="23"/>
      <c r="U44" s="58" t="str">
        <f>IF(Q44&gt;=SUM(R44:S44),"Corect","E trebuie să fie cel puțin egal cu C+VP")</f>
        <v>Corect</v>
      </c>
      <c r="V44" s="59"/>
      <c r="W44" s="59"/>
    </row>
    <row r="45" spans="1:23" ht="30.75" customHeight="1" x14ac:dyDescent="0.2"/>
    <row r="46" spans="1:23" ht="16.5" customHeight="1" x14ac:dyDescent="0.2">
      <c r="A46" s="96" t="s">
        <v>44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</row>
    <row r="47" spans="1:23" ht="26.25" customHeight="1" x14ac:dyDescent="0.2">
      <c r="A47" s="106" t="s">
        <v>27</v>
      </c>
      <c r="B47" s="108" t="s">
        <v>26</v>
      </c>
      <c r="C47" s="109"/>
      <c r="D47" s="109"/>
      <c r="E47" s="109"/>
      <c r="F47" s="109"/>
      <c r="G47" s="109"/>
      <c r="H47" s="109"/>
      <c r="I47" s="110"/>
      <c r="J47" s="97" t="s">
        <v>41</v>
      </c>
      <c r="K47" s="99" t="s">
        <v>24</v>
      </c>
      <c r="L47" s="100"/>
      <c r="M47" s="101"/>
      <c r="N47" s="99" t="s">
        <v>42</v>
      </c>
      <c r="O47" s="103"/>
      <c r="P47" s="104"/>
      <c r="Q47" s="99" t="s">
        <v>23</v>
      </c>
      <c r="R47" s="100"/>
      <c r="S47" s="101"/>
      <c r="T47" s="105" t="s">
        <v>22</v>
      </c>
    </row>
    <row r="48" spans="1:23" ht="12.75" customHeight="1" x14ac:dyDescent="0.2">
      <c r="A48" s="107"/>
      <c r="B48" s="111"/>
      <c r="C48" s="92"/>
      <c r="D48" s="92"/>
      <c r="E48" s="92"/>
      <c r="F48" s="92"/>
      <c r="G48" s="92"/>
      <c r="H48" s="92"/>
      <c r="I48" s="112"/>
      <c r="J48" s="98"/>
      <c r="K48" s="5" t="s">
        <v>28</v>
      </c>
      <c r="L48" s="5" t="s">
        <v>29</v>
      </c>
      <c r="M48" s="5" t="s">
        <v>30</v>
      </c>
      <c r="N48" s="5" t="s">
        <v>34</v>
      </c>
      <c r="O48" s="5" t="s">
        <v>7</v>
      </c>
      <c r="P48" s="5" t="s">
        <v>31</v>
      </c>
      <c r="Q48" s="5" t="s">
        <v>32</v>
      </c>
      <c r="R48" s="5" t="s">
        <v>28</v>
      </c>
      <c r="S48" s="5" t="s">
        <v>33</v>
      </c>
      <c r="T48" s="98"/>
    </row>
    <row r="49" spans="1:23" x14ac:dyDescent="0.2">
      <c r="A49" s="42" t="s">
        <v>113</v>
      </c>
      <c r="B49" s="93" t="s">
        <v>83</v>
      </c>
      <c r="C49" s="94"/>
      <c r="D49" s="94"/>
      <c r="E49" s="94"/>
      <c r="F49" s="94"/>
      <c r="G49" s="94"/>
      <c r="H49" s="94"/>
      <c r="I49" s="95"/>
      <c r="J49" s="11">
        <v>6</v>
      </c>
      <c r="K49" s="11">
        <v>2</v>
      </c>
      <c r="L49" s="11">
        <v>2</v>
      </c>
      <c r="M49" s="11">
        <v>0</v>
      </c>
      <c r="N49" s="19">
        <f>K49+L49+M49</f>
        <v>4</v>
      </c>
      <c r="O49" s="20">
        <f>P49-N49</f>
        <v>7</v>
      </c>
      <c r="P49" s="20">
        <f>ROUND(PRODUCT(J49,25)/14,0)</f>
        <v>11</v>
      </c>
      <c r="Q49" s="25" t="s">
        <v>32</v>
      </c>
      <c r="R49" s="11"/>
      <c r="S49" s="26"/>
      <c r="T49" s="11" t="s">
        <v>39</v>
      </c>
    </row>
    <row r="50" spans="1:23" x14ac:dyDescent="0.2">
      <c r="A50" s="31" t="s">
        <v>114</v>
      </c>
      <c r="B50" s="93" t="s">
        <v>84</v>
      </c>
      <c r="C50" s="94"/>
      <c r="D50" s="94"/>
      <c r="E50" s="94"/>
      <c r="F50" s="94"/>
      <c r="G50" s="94"/>
      <c r="H50" s="94"/>
      <c r="I50" s="95"/>
      <c r="J50" s="11">
        <v>6</v>
      </c>
      <c r="K50" s="11">
        <v>2</v>
      </c>
      <c r="L50" s="11">
        <v>2</v>
      </c>
      <c r="M50" s="11">
        <v>0</v>
      </c>
      <c r="N50" s="19">
        <f t="shared" ref="N50:N52" si="6">K50+L50+M50</f>
        <v>4</v>
      </c>
      <c r="O50" s="20">
        <f t="shared" ref="O50:O52" si="7">P50-N50</f>
        <v>7</v>
      </c>
      <c r="P50" s="20">
        <f t="shared" ref="P50:P52" si="8">ROUND(PRODUCT(J50,25)/14,0)</f>
        <v>11</v>
      </c>
      <c r="Q50" s="25" t="s">
        <v>32</v>
      </c>
      <c r="R50" s="11"/>
      <c r="S50" s="26"/>
      <c r="T50" s="11" t="s">
        <v>39</v>
      </c>
    </row>
    <row r="51" spans="1:23" x14ac:dyDescent="0.2">
      <c r="A51" s="31" t="s">
        <v>82</v>
      </c>
      <c r="B51" s="93" t="s">
        <v>85</v>
      </c>
      <c r="C51" s="94"/>
      <c r="D51" s="94"/>
      <c r="E51" s="94"/>
      <c r="F51" s="94"/>
      <c r="G51" s="94"/>
      <c r="H51" s="94"/>
      <c r="I51" s="95"/>
      <c r="J51" s="11">
        <v>6</v>
      </c>
      <c r="K51" s="11">
        <v>2</v>
      </c>
      <c r="L51" s="11">
        <v>2</v>
      </c>
      <c r="M51" s="11">
        <v>0</v>
      </c>
      <c r="N51" s="19">
        <f t="shared" si="6"/>
        <v>4</v>
      </c>
      <c r="O51" s="20">
        <f t="shared" si="7"/>
        <v>7</v>
      </c>
      <c r="P51" s="20">
        <f t="shared" si="8"/>
        <v>11</v>
      </c>
      <c r="Q51" s="25" t="s">
        <v>32</v>
      </c>
      <c r="R51" s="11"/>
      <c r="S51" s="26"/>
      <c r="T51" s="11" t="s">
        <v>39</v>
      </c>
    </row>
    <row r="52" spans="1:23" x14ac:dyDescent="0.2">
      <c r="A52" s="31" t="s">
        <v>86</v>
      </c>
      <c r="B52" s="93" t="s">
        <v>89</v>
      </c>
      <c r="C52" s="94"/>
      <c r="D52" s="94"/>
      <c r="E52" s="94"/>
      <c r="F52" s="94"/>
      <c r="G52" s="94"/>
      <c r="H52" s="94"/>
      <c r="I52" s="95"/>
      <c r="J52" s="11">
        <v>6</v>
      </c>
      <c r="K52" s="11">
        <v>0</v>
      </c>
      <c r="L52" s="11">
        <v>0</v>
      </c>
      <c r="M52" s="11">
        <v>6</v>
      </c>
      <c r="N52" s="19">
        <f t="shared" si="6"/>
        <v>6</v>
      </c>
      <c r="O52" s="20">
        <f t="shared" si="7"/>
        <v>5</v>
      </c>
      <c r="P52" s="20">
        <f t="shared" si="8"/>
        <v>11</v>
      </c>
      <c r="Q52" s="25" t="s">
        <v>32</v>
      </c>
      <c r="R52" s="11"/>
      <c r="S52" s="26"/>
      <c r="T52" s="11" t="s">
        <v>38</v>
      </c>
    </row>
    <row r="53" spans="1:23" x14ac:dyDescent="0.2">
      <c r="A53" s="31" t="s">
        <v>99</v>
      </c>
      <c r="B53" s="135" t="s">
        <v>118</v>
      </c>
      <c r="C53" s="136"/>
      <c r="D53" s="136"/>
      <c r="E53" s="136"/>
      <c r="F53" s="136"/>
      <c r="G53" s="136"/>
      <c r="H53" s="136"/>
      <c r="I53" s="137"/>
      <c r="J53" s="11">
        <v>6</v>
      </c>
      <c r="K53" s="11">
        <v>2</v>
      </c>
      <c r="L53" s="11">
        <v>1</v>
      </c>
      <c r="M53" s="11">
        <v>0</v>
      </c>
      <c r="N53" s="19">
        <f>K53+L53+M53</f>
        <v>3</v>
      </c>
      <c r="O53" s="20">
        <f>P53-N53</f>
        <v>8</v>
      </c>
      <c r="P53" s="20">
        <f>ROUND(PRODUCT(J53,25)/14,0)</f>
        <v>11</v>
      </c>
      <c r="Q53" s="25"/>
      <c r="R53" s="11" t="s">
        <v>28</v>
      </c>
      <c r="S53" s="26"/>
      <c r="T53" s="11" t="s">
        <v>38</v>
      </c>
    </row>
    <row r="54" spans="1:23" x14ac:dyDescent="0.2">
      <c r="A54" s="22" t="s">
        <v>25</v>
      </c>
      <c r="B54" s="89"/>
      <c r="C54" s="90"/>
      <c r="D54" s="90"/>
      <c r="E54" s="90"/>
      <c r="F54" s="90"/>
      <c r="G54" s="90"/>
      <c r="H54" s="90"/>
      <c r="I54" s="91"/>
      <c r="J54" s="22">
        <f t="shared" ref="J54:P54" si="9">SUM(J49:J53)</f>
        <v>30</v>
      </c>
      <c r="K54" s="22">
        <f t="shared" si="9"/>
        <v>8</v>
      </c>
      <c r="L54" s="22">
        <f t="shared" si="9"/>
        <v>7</v>
      </c>
      <c r="M54" s="22">
        <f t="shared" si="9"/>
        <v>6</v>
      </c>
      <c r="N54" s="22">
        <f t="shared" si="9"/>
        <v>21</v>
      </c>
      <c r="O54" s="22">
        <f t="shared" si="9"/>
        <v>34</v>
      </c>
      <c r="P54" s="22">
        <f t="shared" si="9"/>
        <v>55</v>
      </c>
      <c r="Q54" s="22">
        <f>COUNTIF(Q49:Q53,"E")</f>
        <v>4</v>
      </c>
      <c r="R54" s="22">
        <f>COUNTIF(R49:R53,"C")</f>
        <v>1</v>
      </c>
      <c r="S54" s="22">
        <f>COUNTIF(S49:S53,"VP")</f>
        <v>0</v>
      </c>
      <c r="T54" s="23"/>
      <c r="U54" s="58" t="str">
        <f>IF(Q54&gt;=SUM(R54:S54),"Corect","E trebuie să fie cel puțin egal cu C+VP")</f>
        <v>Corect</v>
      </c>
      <c r="V54" s="59"/>
      <c r="W54" s="59"/>
    </row>
    <row r="55" spans="1:23" ht="31.5" customHeight="1" x14ac:dyDescent="0.2"/>
    <row r="56" spans="1:23" ht="31.5" customHeight="1" x14ac:dyDescent="0.2">
      <c r="A56" s="96" t="s">
        <v>45</v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</row>
    <row r="57" spans="1:23" ht="25.5" customHeight="1" x14ac:dyDescent="0.2">
      <c r="A57" s="106" t="s">
        <v>27</v>
      </c>
      <c r="B57" s="108" t="s">
        <v>26</v>
      </c>
      <c r="C57" s="109"/>
      <c r="D57" s="109"/>
      <c r="E57" s="109"/>
      <c r="F57" s="109"/>
      <c r="G57" s="109"/>
      <c r="H57" s="109"/>
      <c r="I57" s="110"/>
      <c r="J57" s="97" t="s">
        <v>41</v>
      </c>
      <c r="K57" s="99" t="s">
        <v>24</v>
      </c>
      <c r="L57" s="100"/>
      <c r="M57" s="101"/>
      <c r="N57" s="99" t="s">
        <v>42</v>
      </c>
      <c r="O57" s="103"/>
      <c r="P57" s="104"/>
      <c r="Q57" s="99" t="s">
        <v>23</v>
      </c>
      <c r="R57" s="100"/>
      <c r="S57" s="101"/>
      <c r="T57" s="105" t="s">
        <v>22</v>
      </c>
    </row>
    <row r="58" spans="1:23" ht="16.5" customHeight="1" x14ac:dyDescent="0.2">
      <c r="A58" s="107"/>
      <c r="B58" s="111"/>
      <c r="C58" s="92"/>
      <c r="D58" s="92"/>
      <c r="E58" s="92"/>
      <c r="F58" s="92"/>
      <c r="G58" s="92"/>
      <c r="H58" s="92"/>
      <c r="I58" s="112"/>
      <c r="J58" s="98"/>
      <c r="K58" s="5" t="s">
        <v>28</v>
      </c>
      <c r="L58" s="5" t="s">
        <v>29</v>
      </c>
      <c r="M58" s="5" t="s">
        <v>30</v>
      </c>
      <c r="N58" s="5" t="s">
        <v>34</v>
      </c>
      <c r="O58" s="5" t="s">
        <v>7</v>
      </c>
      <c r="P58" s="5" t="s">
        <v>31</v>
      </c>
      <c r="Q58" s="5" t="s">
        <v>32</v>
      </c>
      <c r="R58" s="5" t="s">
        <v>28</v>
      </c>
      <c r="S58" s="5" t="s">
        <v>33</v>
      </c>
      <c r="T58" s="98"/>
    </row>
    <row r="59" spans="1:23" x14ac:dyDescent="0.2">
      <c r="A59" s="42" t="s">
        <v>115</v>
      </c>
      <c r="B59" s="93" t="s">
        <v>111</v>
      </c>
      <c r="C59" s="94"/>
      <c r="D59" s="94"/>
      <c r="E59" s="94"/>
      <c r="F59" s="94"/>
      <c r="G59" s="94"/>
      <c r="H59" s="94"/>
      <c r="I59" s="95"/>
      <c r="J59" s="11">
        <v>8</v>
      </c>
      <c r="K59" s="11">
        <v>2</v>
      </c>
      <c r="L59" s="11">
        <v>2</v>
      </c>
      <c r="M59" s="11">
        <v>3</v>
      </c>
      <c r="N59" s="19">
        <f>K59+L59+M59</f>
        <v>7</v>
      </c>
      <c r="O59" s="20">
        <f>P59-N59</f>
        <v>7</v>
      </c>
      <c r="P59" s="20">
        <f>ROUND(PRODUCT(J59,25)/14,0)</f>
        <v>14</v>
      </c>
      <c r="Q59" s="25" t="s">
        <v>32</v>
      </c>
      <c r="R59" s="11"/>
      <c r="S59" s="26"/>
      <c r="T59" s="11" t="s">
        <v>39</v>
      </c>
    </row>
    <row r="60" spans="1:23" x14ac:dyDescent="0.2">
      <c r="A60" s="31" t="s">
        <v>90</v>
      </c>
      <c r="B60" s="93" t="s">
        <v>78</v>
      </c>
      <c r="C60" s="94"/>
      <c r="D60" s="94"/>
      <c r="E60" s="94"/>
      <c r="F60" s="94"/>
      <c r="G60" s="94"/>
      <c r="H60" s="94"/>
      <c r="I60" s="95"/>
      <c r="J60" s="11">
        <v>8</v>
      </c>
      <c r="K60" s="11">
        <v>2</v>
      </c>
      <c r="L60" s="11">
        <v>2</v>
      </c>
      <c r="M60" s="11">
        <v>0</v>
      </c>
      <c r="N60" s="19">
        <f t="shared" ref="N60:N62" si="10">K60+L60+M60</f>
        <v>4</v>
      </c>
      <c r="O60" s="20">
        <f t="shared" ref="O60:O62" si="11">P60-N60</f>
        <v>10</v>
      </c>
      <c r="P60" s="20">
        <f t="shared" ref="P60:P62" si="12">ROUND(PRODUCT(J60,25)/14,0)</f>
        <v>14</v>
      </c>
      <c r="Q60" s="25" t="s">
        <v>32</v>
      </c>
      <c r="R60" s="11"/>
      <c r="S60" s="26"/>
      <c r="T60" s="11" t="s">
        <v>37</v>
      </c>
    </row>
    <row r="61" spans="1:23" x14ac:dyDescent="0.2">
      <c r="A61" s="31" t="s">
        <v>119</v>
      </c>
      <c r="B61" s="93" t="s">
        <v>92</v>
      </c>
      <c r="C61" s="94"/>
      <c r="D61" s="94"/>
      <c r="E61" s="94"/>
      <c r="F61" s="94"/>
      <c r="G61" s="94"/>
      <c r="H61" s="94"/>
      <c r="I61" s="95"/>
      <c r="J61" s="11">
        <v>8</v>
      </c>
      <c r="K61" s="11">
        <v>2</v>
      </c>
      <c r="L61" s="11">
        <v>2</v>
      </c>
      <c r="M61" s="11">
        <v>2</v>
      </c>
      <c r="N61" s="19">
        <f t="shared" si="10"/>
        <v>6</v>
      </c>
      <c r="O61" s="20">
        <f t="shared" si="11"/>
        <v>8</v>
      </c>
      <c r="P61" s="20">
        <f t="shared" si="12"/>
        <v>14</v>
      </c>
      <c r="Q61" s="25" t="s">
        <v>32</v>
      </c>
      <c r="R61" s="11"/>
      <c r="S61" s="26"/>
      <c r="T61" s="11" t="s">
        <v>37</v>
      </c>
    </row>
    <row r="62" spans="1:23" x14ac:dyDescent="0.2">
      <c r="A62" s="31" t="s">
        <v>129</v>
      </c>
      <c r="B62" s="135" t="s">
        <v>117</v>
      </c>
      <c r="C62" s="136"/>
      <c r="D62" s="136"/>
      <c r="E62" s="136"/>
      <c r="F62" s="136"/>
      <c r="G62" s="136"/>
      <c r="H62" s="136"/>
      <c r="I62" s="137"/>
      <c r="J62" s="11">
        <v>6</v>
      </c>
      <c r="K62" s="11">
        <v>2</v>
      </c>
      <c r="L62" s="11">
        <v>1</v>
      </c>
      <c r="M62" s="11">
        <v>0</v>
      </c>
      <c r="N62" s="19">
        <f t="shared" si="10"/>
        <v>3</v>
      </c>
      <c r="O62" s="20">
        <f t="shared" si="11"/>
        <v>8</v>
      </c>
      <c r="P62" s="20">
        <f t="shared" si="12"/>
        <v>11</v>
      </c>
      <c r="Q62" s="25" t="s">
        <v>32</v>
      </c>
      <c r="R62" s="11"/>
      <c r="S62" s="26"/>
      <c r="T62" s="11" t="s">
        <v>38</v>
      </c>
    </row>
    <row r="63" spans="1:23" x14ac:dyDescent="0.2">
      <c r="A63" s="22" t="s">
        <v>25</v>
      </c>
      <c r="B63" s="89"/>
      <c r="C63" s="90"/>
      <c r="D63" s="90"/>
      <c r="E63" s="90"/>
      <c r="F63" s="90"/>
      <c r="G63" s="90"/>
      <c r="H63" s="90"/>
      <c r="I63" s="91"/>
      <c r="J63" s="22">
        <f t="shared" ref="J63:P63" si="13">SUM(J59:J62)</f>
        <v>30</v>
      </c>
      <c r="K63" s="22">
        <f t="shared" si="13"/>
        <v>8</v>
      </c>
      <c r="L63" s="22">
        <f t="shared" si="13"/>
        <v>7</v>
      </c>
      <c r="M63" s="22">
        <f t="shared" si="13"/>
        <v>5</v>
      </c>
      <c r="N63" s="22">
        <f t="shared" si="13"/>
        <v>20</v>
      </c>
      <c r="O63" s="22">
        <f t="shared" si="13"/>
        <v>33</v>
      </c>
      <c r="P63" s="22">
        <f t="shared" si="13"/>
        <v>53</v>
      </c>
      <c r="Q63" s="22">
        <f>COUNTIF(Q59:Q62,"E")</f>
        <v>4</v>
      </c>
      <c r="R63" s="22">
        <f>COUNTIF(R59:R62,"C")</f>
        <v>0</v>
      </c>
      <c r="S63" s="22">
        <f>COUNTIF(S59:S62,"VP")</f>
        <v>0</v>
      </c>
      <c r="T63" s="23"/>
      <c r="U63" s="58" t="str">
        <f>IF(Q63&gt;=SUM(R63:S63),"Corect","E trebuie să fie cel puțin egal cu C+VP")</f>
        <v>Corect</v>
      </c>
      <c r="V63" s="59"/>
      <c r="W63" s="59"/>
    </row>
    <row r="64" spans="1:23" ht="21.75" customHeight="1" x14ac:dyDescent="0.2"/>
    <row r="65" spans="1:23" ht="18.75" customHeight="1" x14ac:dyDescent="0.2">
      <c r="A65" s="96" t="s">
        <v>46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</row>
    <row r="66" spans="1:23" ht="24.75" customHeight="1" x14ac:dyDescent="0.2">
      <c r="A66" s="106" t="s">
        <v>27</v>
      </c>
      <c r="B66" s="108" t="s">
        <v>26</v>
      </c>
      <c r="C66" s="109"/>
      <c r="D66" s="109"/>
      <c r="E66" s="109"/>
      <c r="F66" s="109"/>
      <c r="G66" s="109"/>
      <c r="H66" s="109"/>
      <c r="I66" s="110"/>
      <c r="J66" s="97" t="s">
        <v>41</v>
      </c>
      <c r="K66" s="99" t="s">
        <v>24</v>
      </c>
      <c r="L66" s="100"/>
      <c r="M66" s="101"/>
      <c r="N66" s="99" t="s">
        <v>42</v>
      </c>
      <c r="O66" s="103"/>
      <c r="P66" s="104"/>
      <c r="Q66" s="99" t="s">
        <v>23</v>
      </c>
      <c r="R66" s="100"/>
      <c r="S66" s="101"/>
      <c r="T66" s="105" t="s">
        <v>22</v>
      </c>
    </row>
    <row r="67" spans="1:23" x14ac:dyDescent="0.2">
      <c r="A67" s="107"/>
      <c r="B67" s="111"/>
      <c r="C67" s="92"/>
      <c r="D67" s="92"/>
      <c r="E67" s="92"/>
      <c r="F67" s="92"/>
      <c r="G67" s="92"/>
      <c r="H67" s="92"/>
      <c r="I67" s="112"/>
      <c r="J67" s="98"/>
      <c r="K67" s="5" t="s">
        <v>28</v>
      </c>
      <c r="L67" s="5" t="s">
        <v>29</v>
      </c>
      <c r="M67" s="5" t="s">
        <v>30</v>
      </c>
      <c r="N67" s="5" t="s">
        <v>34</v>
      </c>
      <c r="O67" s="5" t="s">
        <v>7</v>
      </c>
      <c r="P67" s="5" t="s">
        <v>31</v>
      </c>
      <c r="Q67" s="5" t="s">
        <v>32</v>
      </c>
      <c r="R67" s="5" t="s">
        <v>28</v>
      </c>
      <c r="S67" s="5" t="s">
        <v>33</v>
      </c>
      <c r="T67" s="98"/>
    </row>
    <row r="68" spans="1:23" x14ac:dyDescent="0.2">
      <c r="A68" s="31" t="s">
        <v>120</v>
      </c>
      <c r="B68" s="93" t="s">
        <v>112</v>
      </c>
      <c r="C68" s="94"/>
      <c r="D68" s="94"/>
      <c r="E68" s="94"/>
      <c r="F68" s="94"/>
      <c r="G68" s="94"/>
      <c r="H68" s="94"/>
      <c r="I68" s="95"/>
      <c r="J68" s="11">
        <v>8</v>
      </c>
      <c r="K68" s="11">
        <v>2</v>
      </c>
      <c r="L68" s="11">
        <v>2</v>
      </c>
      <c r="M68" s="11">
        <v>0</v>
      </c>
      <c r="N68" s="19">
        <f>K68+L68+M68</f>
        <v>4</v>
      </c>
      <c r="O68" s="20">
        <f>P68-N68</f>
        <v>13</v>
      </c>
      <c r="P68" s="20">
        <f>ROUND(PRODUCT(J68,25)/12,0)</f>
        <v>17</v>
      </c>
      <c r="Q68" s="25" t="s">
        <v>32</v>
      </c>
      <c r="R68" s="11"/>
      <c r="S68" s="26"/>
      <c r="T68" s="11" t="s">
        <v>38</v>
      </c>
    </row>
    <row r="69" spans="1:23" x14ac:dyDescent="0.2">
      <c r="A69" s="31" t="s">
        <v>120</v>
      </c>
      <c r="B69" s="93" t="s">
        <v>93</v>
      </c>
      <c r="C69" s="94"/>
      <c r="D69" s="94"/>
      <c r="E69" s="94"/>
      <c r="F69" s="94"/>
      <c r="G69" s="94"/>
      <c r="H69" s="94"/>
      <c r="I69" s="95"/>
      <c r="J69" s="11">
        <v>8</v>
      </c>
      <c r="K69" s="11">
        <v>2</v>
      </c>
      <c r="L69" s="11">
        <v>2</v>
      </c>
      <c r="M69" s="11">
        <v>2</v>
      </c>
      <c r="N69" s="19">
        <f t="shared" ref="N69:N71" si="14">K69+L69+M69</f>
        <v>6</v>
      </c>
      <c r="O69" s="20">
        <f t="shared" ref="O69:O71" si="15">P69-N69</f>
        <v>11</v>
      </c>
      <c r="P69" s="20">
        <f t="shared" ref="P69:P71" si="16">ROUND(PRODUCT(J69,25)/12,0)</f>
        <v>17</v>
      </c>
      <c r="Q69" s="25" t="s">
        <v>32</v>
      </c>
      <c r="R69" s="11"/>
      <c r="S69" s="26"/>
      <c r="T69" s="11" t="s">
        <v>39</v>
      </c>
    </row>
    <row r="70" spans="1:23" x14ac:dyDescent="0.2">
      <c r="A70" s="31" t="s">
        <v>121</v>
      </c>
      <c r="B70" s="93" t="s">
        <v>122</v>
      </c>
      <c r="C70" s="94"/>
      <c r="D70" s="94"/>
      <c r="E70" s="94"/>
      <c r="F70" s="94"/>
      <c r="G70" s="94"/>
      <c r="H70" s="94"/>
      <c r="I70" s="95"/>
      <c r="J70" s="11">
        <v>8</v>
      </c>
      <c r="K70" s="11">
        <v>2</v>
      </c>
      <c r="L70" s="11">
        <v>2</v>
      </c>
      <c r="M70" s="11">
        <v>0</v>
      </c>
      <c r="N70" s="19">
        <f t="shared" si="14"/>
        <v>4</v>
      </c>
      <c r="O70" s="20">
        <f t="shared" si="15"/>
        <v>13</v>
      </c>
      <c r="P70" s="20">
        <f t="shared" si="16"/>
        <v>17</v>
      </c>
      <c r="Q70" s="25" t="s">
        <v>32</v>
      </c>
      <c r="R70" s="11"/>
      <c r="S70" s="26"/>
      <c r="T70" s="11" t="s">
        <v>38</v>
      </c>
    </row>
    <row r="71" spans="1:23" x14ac:dyDescent="0.2">
      <c r="A71" s="31" t="s">
        <v>96</v>
      </c>
      <c r="B71" s="93" t="s">
        <v>89</v>
      </c>
      <c r="C71" s="94"/>
      <c r="D71" s="94"/>
      <c r="E71" s="94"/>
      <c r="F71" s="94"/>
      <c r="G71" s="94"/>
      <c r="H71" s="94"/>
      <c r="I71" s="95"/>
      <c r="J71" s="11">
        <v>6</v>
      </c>
      <c r="K71" s="11">
        <v>0</v>
      </c>
      <c r="L71" s="11">
        <v>0</v>
      </c>
      <c r="M71" s="11">
        <v>6</v>
      </c>
      <c r="N71" s="19">
        <f t="shared" si="14"/>
        <v>6</v>
      </c>
      <c r="O71" s="20">
        <f t="shared" si="15"/>
        <v>7</v>
      </c>
      <c r="P71" s="20">
        <f t="shared" si="16"/>
        <v>13</v>
      </c>
      <c r="Q71" s="25"/>
      <c r="R71" s="11" t="s">
        <v>28</v>
      </c>
      <c r="S71" s="26"/>
      <c r="T71" s="11" t="s">
        <v>38</v>
      </c>
    </row>
    <row r="72" spans="1:23" x14ac:dyDescent="0.2">
      <c r="A72" s="22" t="s">
        <v>25</v>
      </c>
      <c r="B72" s="89"/>
      <c r="C72" s="90"/>
      <c r="D72" s="90"/>
      <c r="E72" s="90"/>
      <c r="F72" s="90"/>
      <c r="G72" s="90"/>
      <c r="H72" s="90"/>
      <c r="I72" s="91"/>
      <c r="J72" s="22">
        <f t="shared" ref="J72:P72" si="17">SUM(J68:J71)</f>
        <v>30</v>
      </c>
      <c r="K72" s="22">
        <f t="shared" si="17"/>
        <v>6</v>
      </c>
      <c r="L72" s="22">
        <f t="shared" si="17"/>
        <v>6</v>
      </c>
      <c r="M72" s="22">
        <f t="shared" si="17"/>
        <v>8</v>
      </c>
      <c r="N72" s="22">
        <f t="shared" si="17"/>
        <v>20</v>
      </c>
      <c r="O72" s="22">
        <f t="shared" si="17"/>
        <v>44</v>
      </c>
      <c r="P72" s="22">
        <f t="shared" si="17"/>
        <v>64</v>
      </c>
      <c r="Q72" s="22">
        <f>COUNTIF(Q68:Q71,"E")</f>
        <v>3</v>
      </c>
      <c r="R72" s="22">
        <f>COUNTIF(R68:R71,"C")</f>
        <v>1</v>
      </c>
      <c r="S72" s="22">
        <f>COUNTIF(S68:S71,"VP")</f>
        <v>0</v>
      </c>
      <c r="T72" s="23"/>
      <c r="U72" s="58" t="str">
        <f>IF(Q72&gt;=SUM(R72:S72),"Corect","E trebuie să fie cel puțin egal cu C+VP")</f>
        <v>Corect</v>
      </c>
      <c r="V72" s="59"/>
      <c r="W72" s="59"/>
    </row>
    <row r="73" spans="1:23" ht="9" customHeight="1" x14ac:dyDescent="0.2"/>
    <row r="74" spans="1:23" x14ac:dyDescent="0.2">
      <c r="B74" s="2"/>
      <c r="C74" s="2"/>
      <c r="D74" s="2"/>
      <c r="E74" s="2"/>
      <c r="F74" s="2"/>
      <c r="G74" s="2"/>
      <c r="M74" s="8"/>
      <c r="N74" s="8"/>
      <c r="O74" s="8"/>
      <c r="P74" s="8"/>
      <c r="Q74" s="8"/>
      <c r="R74" s="8"/>
      <c r="S74" s="8"/>
    </row>
    <row r="77" spans="1:23" ht="19.5" customHeight="1" x14ac:dyDescent="0.2">
      <c r="A77" s="96" t="s">
        <v>47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</row>
    <row r="78" spans="1:23" ht="27.75" customHeight="1" x14ac:dyDescent="0.2">
      <c r="A78" s="106" t="s">
        <v>27</v>
      </c>
      <c r="B78" s="108" t="s">
        <v>26</v>
      </c>
      <c r="C78" s="109"/>
      <c r="D78" s="109"/>
      <c r="E78" s="109"/>
      <c r="F78" s="109"/>
      <c r="G78" s="109"/>
      <c r="H78" s="109"/>
      <c r="I78" s="110"/>
      <c r="J78" s="97" t="s">
        <v>41</v>
      </c>
      <c r="K78" s="154" t="s">
        <v>24</v>
      </c>
      <c r="L78" s="154"/>
      <c r="M78" s="154"/>
      <c r="N78" s="154" t="s">
        <v>42</v>
      </c>
      <c r="O78" s="158"/>
      <c r="P78" s="158"/>
      <c r="Q78" s="154" t="s">
        <v>23</v>
      </c>
      <c r="R78" s="154"/>
      <c r="S78" s="154"/>
      <c r="T78" s="154" t="s">
        <v>22</v>
      </c>
    </row>
    <row r="79" spans="1:23" ht="12.75" customHeight="1" x14ac:dyDescent="0.2">
      <c r="A79" s="107"/>
      <c r="B79" s="111"/>
      <c r="C79" s="92"/>
      <c r="D79" s="92"/>
      <c r="E79" s="92"/>
      <c r="F79" s="92"/>
      <c r="G79" s="92"/>
      <c r="H79" s="92"/>
      <c r="I79" s="112"/>
      <c r="J79" s="98"/>
      <c r="K79" s="5" t="s">
        <v>28</v>
      </c>
      <c r="L79" s="5" t="s">
        <v>29</v>
      </c>
      <c r="M79" s="5" t="s">
        <v>30</v>
      </c>
      <c r="N79" s="5" t="s">
        <v>34</v>
      </c>
      <c r="O79" s="5" t="s">
        <v>7</v>
      </c>
      <c r="P79" s="5" t="s">
        <v>31</v>
      </c>
      <c r="Q79" s="5" t="s">
        <v>32</v>
      </c>
      <c r="R79" s="5" t="s">
        <v>28</v>
      </c>
      <c r="S79" s="5" t="s">
        <v>33</v>
      </c>
      <c r="T79" s="154"/>
    </row>
    <row r="80" spans="1:23" x14ac:dyDescent="0.2">
      <c r="A80" s="113" t="s">
        <v>48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5"/>
    </row>
    <row r="81" spans="1:26" x14ac:dyDescent="0.2">
      <c r="A81" s="32"/>
      <c r="B81" s="119" t="s">
        <v>98</v>
      </c>
      <c r="C81" s="120"/>
      <c r="D81" s="120"/>
      <c r="E81" s="120"/>
      <c r="F81" s="120"/>
      <c r="G81" s="120"/>
      <c r="H81" s="120"/>
      <c r="I81" s="121"/>
      <c r="J81" s="27">
        <v>6</v>
      </c>
      <c r="K81" s="27">
        <v>2</v>
      </c>
      <c r="L81" s="27">
        <v>1</v>
      </c>
      <c r="M81" s="27">
        <v>0</v>
      </c>
      <c r="N81" s="20">
        <f>K81+L81+M81</f>
        <v>3</v>
      </c>
      <c r="O81" s="20">
        <f>P81-N81</f>
        <v>8</v>
      </c>
      <c r="P81" s="20">
        <f>ROUND(PRODUCT(J81,25)/14,0)</f>
        <v>11</v>
      </c>
      <c r="Q81" s="27" t="s">
        <v>32</v>
      </c>
      <c r="R81" s="27"/>
      <c r="S81" s="28"/>
      <c r="T81" s="11" t="s">
        <v>38</v>
      </c>
    </row>
    <row r="82" spans="1:26" x14ac:dyDescent="0.2">
      <c r="A82" s="32" t="s">
        <v>128</v>
      </c>
      <c r="B82" s="119" t="s">
        <v>116</v>
      </c>
      <c r="C82" s="120"/>
      <c r="D82" s="120"/>
      <c r="E82" s="120"/>
      <c r="F82" s="120"/>
      <c r="G82" s="120"/>
      <c r="H82" s="120"/>
      <c r="I82" s="121"/>
      <c r="J82" s="27">
        <v>6</v>
      </c>
      <c r="K82" s="27">
        <v>2</v>
      </c>
      <c r="L82" s="27">
        <v>1</v>
      </c>
      <c r="M82" s="27">
        <v>0</v>
      </c>
      <c r="N82" s="20">
        <f t="shared" ref="N82:N86" si="18">K82+L82+M82</f>
        <v>3</v>
      </c>
      <c r="O82" s="20">
        <f t="shared" ref="O82:O86" si="19">P82-N82</f>
        <v>8</v>
      </c>
      <c r="P82" s="20">
        <f t="shared" ref="P82:P86" si="20">ROUND(PRODUCT(J82,25)/14,0)</f>
        <v>11</v>
      </c>
      <c r="Q82" s="27" t="s">
        <v>32</v>
      </c>
      <c r="R82" s="27"/>
      <c r="S82" s="28"/>
      <c r="T82" s="11" t="s">
        <v>39</v>
      </c>
    </row>
    <row r="83" spans="1:26" x14ac:dyDescent="0.2">
      <c r="A83" s="116" t="s">
        <v>49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8"/>
    </row>
    <row r="84" spans="1:26" x14ac:dyDescent="0.2">
      <c r="A84" s="32" t="s">
        <v>87</v>
      </c>
      <c r="B84" s="119" t="s">
        <v>88</v>
      </c>
      <c r="C84" s="120"/>
      <c r="D84" s="120"/>
      <c r="E84" s="120"/>
      <c r="F84" s="120"/>
      <c r="G84" s="120"/>
      <c r="H84" s="120"/>
      <c r="I84" s="121"/>
      <c r="J84" s="27">
        <v>6</v>
      </c>
      <c r="K84" s="27">
        <v>2</v>
      </c>
      <c r="L84" s="27">
        <v>1</v>
      </c>
      <c r="M84" s="27">
        <v>0</v>
      </c>
      <c r="N84" s="20">
        <f t="shared" si="18"/>
        <v>3</v>
      </c>
      <c r="O84" s="20">
        <f t="shared" si="19"/>
        <v>8</v>
      </c>
      <c r="P84" s="20">
        <f t="shared" si="20"/>
        <v>11</v>
      </c>
      <c r="Q84" s="27" t="s">
        <v>32</v>
      </c>
      <c r="R84" s="27"/>
      <c r="S84" s="28"/>
      <c r="T84" s="11" t="s">
        <v>39</v>
      </c>
    </row>
    <row r="85" spans="1:26" s="47" customFormat="1" x14ac:dyDescent="0.2">
      <c r="A85" s="46" t="s">
        <v>124</v>
      </c>
      <c r="B85" s="119" t="s">
        <v>125</v>
      </c>
      <c r="C85" s="120"/>
      <c r="D85" s="120"/>
      <c r="E85" s="120"/>
      <c r="F85" s="120"/>
      <c r="G85" s="120"/>
      <c r="H85" s="120"/>
      <c r="I85" s="121"/>
      <c r="J85" s="27">
        <v>6</v>
      </c>
      <c r="K85" s="27">
        <v>2</v>
      </c>
      <c r="L85" s="27">
        <v>1</v>
      </c>
      <c r="M85" s="27">
        <v>0</v>
      </c>
      <c r="N85" s="20">
        <f t="shared" si="18"/>
        <v>3</v>
      </c>
      <c r="O85" s="20">
        <f t="shared" si="19"/>
        <v>8</v>
      </c>
      <c r="P85" s="20">
        <f t="shared" si="20"/>
        <v>11</v>
      </c>
      <c r="Q85" s="27" t="s">
        <v>32</v>
      </c>
      <c r="R85" s="27"/>
      <c r="S85" s="28"/>
      <c r="T85" s="48" t="s">
        <v>39</v>
      </c>
    </row>
    <row r="86" spans="1:26" x14ac:dyDescent="0.2">
      <c r="A86" s="46" t="s">
        <v>94</v>
      </c>
      <c r="B86" s="119" t="s">
        <v>95</v>
      </c>
      <c r="C86" s="120"/>
      <c r="D86" s="120"/>
      <c r="E86" s="120"/>
      <c r="F86" s="120"/>
      <c r="G86" s="120"/>
      <c r="H86" s="120"/>
      <c r="I86" s="121"/>
      <c r="J86" s="27">
        <v>6</v>
      </c>
      <c r="K86" s="27">
        <v>2</v>
      </c>
      <c r="L86" s="27">
        <v>1</v>
      </c>
      <c r="M86" s="27">
        <v>0</v>
      </c>
      <c r="N86" s="20">
        <f t="shared" si="18"/>
        <v>3</v>
      </c>
      <c r="O86" s="20">
        <f t="shared" si="19"/>
        <v>8</v>
      </c>
      <c r="P86" s="20">
        <f t="shared" si="20"/>
        <v>11</v>
      </c>
      <c r="Q86" s="27" t="s">
        <v>32</v>
      </c>
      <c r="R86" s="27"/>
      <c r="S86" s="28"/>
      <c r="T86" s="11" t="s">
        <v>40</v>
      </c>
    </row>
    <row r="87" spans="1:26" x14ac:dyDescent="0.2">
      <c r="A87" s="116" t="s">
        <v>123</v>
      </c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60"/>
    </row>
    <row r="88" spans="1:26" x14ac:dyDescent="0.2">
      <c r="A88" s="46"/>
      <c r="B88" s="119" t="s">
        <v>98</v>
      </c>
      <c r="C88" s="120"/>
      <c r="D88" s="120"/>
      <c r="E88" s="120"/>
      <c r="F88" s="120"/>
      <c r="G88" s="120"/>
      <c r="H88" s="120"/>
      <c r="I88" s="121"/>
      <c r="J88" s="27">
        <v>6</v>
      </c>
      <c r="K88" s="27">
        <v>2</v>
      </c>
      <c r="L88" s="27">
        <v>1</v>
      </c>
      <c r="M88" s="27">
        <v>0</v>
      </c>
      <c r="N88" s="20">
        <f t="shared" ref="N88" si="21">K88+L88+M88</f>
        <v>3</v>
      </c>
      <c r="O88" s="20">
        <f t="shared" ref="O88" si="22">P88-N88</f>
        <v>8</v>
      </c>
      <c r="P88" s="20">
        <f t="shared" ref="P88" si="23">ROUND(PRODUCT(J88,25)/14,0)</f>
        <v>11</v>
      </c>
      <c r="Q88" s="27" t="s">
        <v>32</v>
      </c>
      <c r="R88" s="27"/>
      <c r="S88" s="28"/>
      <c r="T88" s="11" t="s">
        <v>38</v>
      </c>
    </row>
    <row r="89" spans="1:26" x14ac:dyDescent="0.2">
      <c r="A89" s="34" t="s">
        <v>128</v>
      </c>
      <c r="B89" s="119" t="s">
        <v>116</v>
      </c>
      <c r="C89" s="120"/>
      <c r="D89" s="120"/>
      <c r="E89" s="120"/>
      <c r="F89" s="120"/>
      <c r="G89" s="120"/>
      <c r="H89" s="120"/>
      <c r="I89" s="121"/>
      <c r="J89" s="27">
        <v>6</v>
      </c>
      <c r="K89" s="27">
        <v>2</v>
      </c>
      <c r="L89" s="27">
        <v>1</v>
      </c>
      <c r="M89" s="27">
        <v>0</v>
      </c>
      <c r="N89" s="20">
        <f t="shared" ref="N89" si="24">K89+L89+M89</f>
        <v>3</v>
      </c>
      <c r="O89" s="20">
        <f t="shared" ref="O89" si="25">P89-N89</f>
        <v>8</v>
      </c>
      <c r="P89" s="20">
        <f t="shared" ref="P89" si="26">ROUND(PRODUCT(J89,25)/14,0)</f>
        <v>11</v>
      </c>
      <c r="Q89" s="27"/>
      <c r="R89" s="27"/>
      <c r="S89" s="28"/>
      <c r="T89" s="11" t="s">
        <v>39</v>
      </c>
    </row>
    <row r="90" spans="1:26" ht="31.5" customHeight="1" x14ac:dyDescent="0.2">
      <c r="A90" s="81" t="s">
        <v>51</v>
      </c>
      <c r="B90" s="82"/>
      <c r="C90" s="82"/>
      <c r="D90" s="82"/>
      <c r="E90" s="82"/>
      <c r="F90" s="82"/>
      <c r="G90" s="82"/>
      <c r="H90" s="82"/>
      <c r="I90" s="83"/>
      <c r="J90" s="24">
        <f>SUM(J81,J84,J88)</f>
        <v>18</v>
      </c>
      <c r="K90" s="24">
        <f t="shared" ref="K90:P90" si="27">SUM(K81,K84,K88)</f>
        <v>6</v>
      </c>
      <c r="L90" s="24">
        <f t="shared" si="27"/>
        <v>3</v>
      </c>
      <c r="M90" s="24">
        <f t="shared" si="27"/>
        <v>0</v>
      </c>
      <c r="N90" s="24">
        <f t="shared" si="27"/>
        <v>9</v>
      </c>
      <c r="O90" s="24">
        <f t="shared" si="27"/>
        <v>24</v>
      </c>
      <c r="P90" s="24">
        <f t="shared" si="27"/>
        <v>33</v>
      </c>
      <c r="Q90" s="24">
        <f>COUNTIF(Q81,"E")+COUNTIF(Q84,"E")+COUNTIF(Q88,"E")</f>
        <v>3</v>
      </c>
      <c r="R90" s="24">
        <f>COUNTIF(R81,"C")+COUNTIF(R84,"C")+COUNTIF(R88,"C")</f>
        <v>0</v>
      </c>
      <c r="S90" s="24">
        <f>COUNTIF(S81,"VP")+COUNTIF(S84,"VP")+COUNTIF(S88,"VP")</f>
        <v>0</v>
      </c>
      <c r="T90" s="200">
        <v>0.2</v>
      </c>
      <c r="U90" s="201"/>
      <c r="V90" s="201"/>
      <c r="W90" s="201"/>
      <c r="X90" s="201"/>
      <c r="Y90" s="201"/>
      <c r="Z90" s="202"/>
    </row>
    <row r="91" spans="1:26" ht="13.5" customHeight="1" x14ac:dyDescent="0.2">
      <c r="A91" s="63" t="s">
        <v>52</v>
      </c>
      <c r="B91" s="64"/>
      <c r="C91" s="64"/>
      <c r="D91" s="64"/>
      <c r="E91" s="64"/>
      <c r="F91" s="64"/>
      <c r="G91" s="64"/>
      <c r="H91" s="64"/>
      <c r="I91" s="64"/>
      <c r="J91" s="65"/>
      <c r="K91" s="24">
        <f>SUM(K81,K84,K87)*14</f>
        <v>56</v>
      </c>
      <c r="L91" s="24">
        <f t="shared" ref="L91:P91" si="28">SUM(L81,L84,L87)*14</f>
        <v>28</v>
      </c>
      <c r="M91" s="24">
        <f t="shared" si="28"/>
        <v>0</v>
      </c>
      <c r="N91" s="24">
        <f t="shared" si="28"/>
        <v>84</v>
      </c>
      <c r="O91" s="24">
        <f t="shared" si="28"/>
        <v>224</v>
      </c>
      <c r="P91" s="24">
        <f t="shared" si="28"/>
        <v>308</v>
      </c>
      <c r="Q91" s="69"/>
      <c r="R91" s="70"/>
      <c r="S91" s="70"/>
      <c r="T91" s="71"/>
    </row>
    <row r="92" spans="1:26" x14ac:dyDescent="0.2">
      <c r="A92" s="66"/>
      <c r="B92" s="67"/>
      <c r="C92" s="67"/>
      <c r="D92" s="67"/>
      <c r="E92" s="67"/>
      <c r="F92" s="67"/>
      <c r="G92" s="67"/>
      <c r="H92" s="67"/>
      <c r="I92" s="67"/>
      <c r="J92" s="68"/>
      <c r="K92" s="78">
        <f>SUM(K91:M91)</f>
        <v>84</v>
      </c>
      <c r="L92" s="79"/>
      <c r="M92" s="80"/>
      <c r="N92" s="155">
        <f>SUM(N91:O91)</f>
        <v>308</v>
      </c>
      <c r="O92" s="156"/>
      <c r="P92" s="157"/>
      <c r="Q92" s="72"/>
      <c r="R92" s="73"/>
      <c r="S92" s="73"/>
      <c r="T92" s="74"/>
    </row>
    <row r="93" spans="1:26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3"/>
      <c r="L93" s="13"/>
      <c r="M93" s="13"/>
      <c r="N93" s="14"/>
      <c r="O93" s="14"/>
      <c r="P93" s="14"/>
      <c r="Q93" s="15"/>
      <c r="R93" s="15"/>
      <c r="S93" s="15"/>
      <c r="T93" s="15"/>
    </row>
    <row r="94" spans="1:26" x14ac:dyDescent="0.2">
      <c r="B94" s="2"/>
      <c r="C94" s="2"/>
      <c r="D94" s="2"/>
      <c r="E94" s="2"/>
      <c r="F94" s="2"/>
      <c r="G94" s="2"/>
      <c r="M94" s="8"/>
      <c r="N94" s="8"/>
      <c r="O94" s="8"/>
      <c r="P94" s="8"/>
      <c r="Q94" s="8"/>
      <c r="R94" s="8"/>
      <c r="S94" s="8"/>
    </row>
    <row r="95" spans="1:26" ht="15.75" customHeigh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3"/>
      <c r="L95" s="13"/>
      <c r="M95" s="13"/>
      <c r="N95" s="16"/>
      <c r="O95" s="16"/>
      <c r="P95" s="16"/>
      <c r="Q95" s="16"/>
      <c r="R95" s="16"/>
      <c r="S95" s="16"/>
      <c r="T95" s="16"/>
    </row>
    <row r="96" spans="1:26" ht="28.5" customHeigh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3"/>
      <c r="L96" s="13"/>
      <c r="M96" s="13"/>
      <c r="N96" s="16"/>
      <c r="O96" s="16"/>
      <c r="P96" s="16"/>
      <c r="Q96" s="16"/>
      <c r="R96" s="16"/>
      <c r="S96" s="16"/>
      <c r="T96" s="16"/>
    </row>
    <row r="97" spans="1:26" ht="21.75" customHeight="1" x14ac:dyDescent="0.2">
      <c r="A97" s="92" t="s">
        <v>53</v>
      </c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</row>
    <row r="98" spans="1:26" ht="16.5" customHeight="1" x14ac:dyDescent="0.2">
      <c r="A98" s="89" t="s">
        <v>55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1"/>
    </row>
    <row r="99" spans="1:26" ht="15" customHeight="1" x14ac:dyDescent="0.2">
      <c r="A99" s="102" t="s">
        <v>27</v>
      </c>
      <c r="B99" s="102" t="s">
        <v>26</v>
      </c>
      <c r="C99" s="102"/>
      <c r="D99" s="102"/>
      <c r="E99" s="102"/>
      <c r="F99" s="102"/>
      <c r="G99" s="102"/>
      <c r="H99" s="102"/>
      <c r="I99" s="102"/>
      <c r="J99" s="84" t="s">
        <v>41</v>
      </c>
      <c r="K99" s="84" t="s">
        <v>24</v>
      </c>
      <c r="L99" s="84"/>
      <c r="M99" s="84"/>
      <c r="N99" s="84" t="s">
        <v>42</v>
      </c>
      <c r="O99" s="84"/>
      <c r="P99" s="84"/>
      <c r="Q99" s="84" t="s">
        <v>23</v>
      </c>
      <c r="R99" s="84"/>
      <c r="S99" s="84"/>
      <c r="T99" s="84" t="s">
        <v>22</v>
      </c>
    </row>
    <row r="100" spans="1:26" x14ac:dyDescent="0.2">
      <c r="A100" s="102"/>
      <c r="B100" s="102"/>
      <c r="C100" s="102"/>
      <c r="D100" s="102"/>
      <c r="E100" s="102"/>
      <c r="F100" s="102"/>
      <c r="G100" s="102"/>
      <c r="H100" s="102"/>
      <c r="I100" s="102"/>
      <c r="J100" s="84"/>
      <c r="K100" s="30" t="s">
        <v>28</v>
      </c>
      <c r="L100" s="30" t="s">
        <v>29</v>
      </c>
      <c r="M100" s="30" t="s">
        <v>30</v>
      </c>
      <c r="N100" s="30" t="s">
        <v>34</v>
      </c>
      <c r="O100" s="30" t="s">
        <v>7</v>
      </c>
      <c r="P100" s="30" t="s">
        <v>31</v>
      </c>
      <c r="Q100" s="30" t="s">
        <v>32</v>
      </c>
      <c r="R100" s="30" t="s">
        <v>28</v>
      </c>
      <c r="S100" s="30" t="s">
        <v>33</v>
      </c>
      <c r="T100" s="84"/>
    </row>
    <row r="101" spans="1:26" x14ac:dyDescent="0.2">
      <c r="A101" s="89" t="s">
        <v>68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1"/>
    </row>
    <row r="102" spans="1:26" x14ac:dyDescent="0.2">
      <c r="A102" s="33" t="str">
        <f>IF(ISNA(INDEX($A$37:$T$94,MATCH($B102,$B$37:$B$94,0),1)),"",INDEX($A$37:$T$94,MATCH($B102,$B$37:$B$94,0),1))</f>
        <v>UMR1161</v>
      </c>
      <c r="B102" s="85" t="s">
        <v>91</v>
      </c>
      <c r="C102" s="85"/>
      <c r="D102" s="85"/>
      <c r="E102" s="85"/>
      <c r="F102" s="85"/>
      <c r="G102" s="85"/>
      <c r="H102" s="85"/>
      <c r="I102" s="85"/>
      <c r="J102" s="20">
        <f>IF(ISNA(INDEX($A$37:$T$94,MATCH($B102,$B$37:$B$94,0),10)),"",INDEX($A$37:$T$94,MATCH($B102,$B$37:$B$94,0),10))</f>
        <v>8</v>
      </c>
      <c r="K102" s="20">
        <f>IF(ISNA(INDEX($A$37:$T$94,MATCH($B102,$B$37:$B$94,0),11)),"",INDEX($A$37:$T$94,MATCH($B102,$B$37:$B$94,0),11))</f>
        <v>2</v>
      </c>
      <c r="L102" s="20">
        <f>IF(ISNA(INDEX($A$37:$T$94,MATCH($B102,$B$37:$B$94,0),12)),"",INDEX($A$37:$T$94,MATCH($B102,$B$37:$B$94,0),12))</f>
        <v>2</v>
      </c>
      <c r="M102" s="20">
        <f>IF(ISNA(INDEX($A$37:$T$94,MATCH($B102,$B$37:$B$94,0),13)),"",INDEX($A$37:$T$94,MATCH($B102,$B$37:$B$94,0),13))</f>
        <v>2</v>
      </c>
      <c r="N102" s="20">
        <f>IF(ISNA(INDEX($A$37:$T$94,MATCH($B102,$B$37:$B$94,0),14)),"",INDEX($A$37:$T$94,MATCH($B102,$B$37:$B$94,0),14))</f>
        <v>6</v>
      </c>
      <c r="O102" s="20">
        <f>IF(ISNA(INDEX($A$37:$T$94,MATCH($B102,$B$37:$B$94,0),15)),"",INDEX($A$37:$T$94,MATCH($B102,$B$37:$B$94,0),15))</f>
        <v>8</v>
      </c>
      <c r="P102" s="20">
        <f>IF(ISNA(INDEX($A$37:$T$94,MATCH($B102,$B$37:$B$94,0),16)),"",INDEX($A$37:$T$94,MATCH($B102,$B$37:$B$94,0),16))</f>
        <v>14</v>
      </c>
      <c r="Q102" s="29" t="str">
        <f>IF(ISNA(INDEX($A$37:$T$94,MATCH($B102,$B$37:$B$94,0),17)),"",INDEX($A$37:$T$94,MATCH($B102,$B$37:$B$94,0),17))</f>
        <v>E</v>
      </c>
      <c r="R102" s="29">
        <f>IF(ISNA(INDEX($A$37:$T$94,MATCH($B102,$B$37:$B$94,0),18)),"",INDEX($A$37:$T$94,MATCH($B102,$B$37:$B$94,0),18))</f>
        <v>0</v>
      </c>
      <c r="S102" s="29">
        <f>IF(ISNA(INDEX($A$37:$T$94,MATCH($B102,$B$37:$B$94,0),19)),"",INDEX($A$37:$T$94,MATCH($B102,$B$37:$B$94,0),19))</f>
        <v>0</v>
      </c>
      <c r="T102" s="21" t="s">
        <v>37</v>
      </c>
    </row>
    <row r="103" spans="1:26" x14ac:dyDescent="0.2">
      <c r="A103" s="33" t="str">
        <f>IF(ISNA(INDEX($A$37:$T$94,MATCH($B103,$B$37:$B$94,0),1)),"",INDEX($A$37:$T$94,MATCH($B103,$B$37:$B$94,0),1))</f>
        <v>UMR1162</v>
      </c>
      <c r="B103" s="85" t="s">
        <v>109</v>
      </c>
      <c r="C103" s="85"/>
      <c r="D103" s="85"/>
      <c r="E103" s="85"/>
      <c r="F103" s="85"/>
      <c r="G103" s="85"/>
      <c r="H103" s="85"/>
      <c r="I103" s="85"/>
      <c r="J103" s="20">
        <f>IF(ISNA(INDEX($A$37:$T$94,MATCH($B103,$B$37:$B$94,0),10)),"",INDEX($A$37:$T$94,MATCH($B103,$B$37:$B$94,0),10))</f>
        <v>8</v>
      </c>
      <c r="K103" s="20">
        <f>IF(ISNA(INDEX($A$37:$T$94,MATCH($B103,$B$37:$B$94,0),11)),"",INDEX($A$37:$T$94,MATCH($B103,$B$37:$B$94,0),11))</f>
        <v>2</v>
      </c>
      <c r="L103" s="20">
        <f>IF(ISNA(INDEX($A$37:$T$94,MATCH($B103,$B$37:$B$94,0),12)),"",INDEX($A$37:$T$94,MATCH($B103,$B$37:$B$94,0),12))</f>
        <v>2</v>
      </c>
      <c r="M103" s="20">
        <f>IF(ISNA(INDEX($A$37:$T$94,MATCH($B103,$B$37:$B$94,0),13)),"",INDEX($A$37:$T$94,MATCH($B103,$B$37:$B$94,0),13))</f>
        <v>2</v>
      </c>
      <c r="N103" s="20">
        <f>IF(ISNA(INDEX($A$37:$T$94,MATCH($B103,$B$37:$B$94,0),14)),"",INDEX($A$37:$T$94,MATCH($B103,$B$37:$B$94,0),14))</f>
        <v>6</v>
      </c>
      <c r="O103" s="20">
        <f>IF(ISNA(INDEX($A$37:$T$94,MATCH($B103,$B$37:$B$94,0),15)),"",INDEX($A$37:$T$94,MATCH($B103,$B$37:$B$94,0),15))</f>
        <v>8</v>
      </c>
      <c r="P103" s="20">
        <f>IF(ISNA(INDEX($A$37:$T$94,MATCH($B103,$B$37:$B$94,0),16)),"",INDEX($A$37:$T$94,MATCH($B103,$B$37:$B$94,0),16))</f>
        <v>14</v>
      </c>
      <c r="Q103" s="29" t="str">
        <f>IF(ISNA(INDEX($A$37:$T$94,MATCH($B103,$B$37:$B$94,0),17)),"",INDEX($A$37:$T$94,MATCH($B103,$B$37:$B$94,0),17))</f>
        <v>E</v>
      </c>
      <c r="R103" s="29">
        <f>IF(ISNA(INDEX($A$37:$T$94,MATCH($B103,$B$37:$B$94,0),18)),"",INDEX($A$37:$T$94,MATCH($B103,$B$37:$B$94,0),18))</f>
        <v>0</v>
      </c>
      <c r="S103" s="29">
        <f>IF(ISNA(INDEX($A$37:$T$94,MATCH($B103,$B$37:$B$94,0),19)),"",INDEX($A$37:$T$94,MATCH($B103,$B$37:$B$94,0),19))</f>
        <v>0</v>
      </c>
      <c r="T103" s="21" t="s">
        <v>37</v>
      </c>
    </row>
    <row r="104" spans="1:26" ht="15.75" customHeight="1" x14ac:dyDescent="0.2">
      <c r="A104" s="33" t="str">
        <f>IF(ISNA(INDEX($A$37:$T$94,MATCH($B104,$B$37:$B$94,0),1)),"",INDEX($A$37:$T$94,MATCH($B104,$B$37:$B$94,0),1))</f>
        <v>UMR1369</v>
      </c>
      <c r="B104" s="85" t="s">
        <v>78</v>
      </c>
      <c r="C104" s="85"/>
      <c r="D104" s="85"/>
      <c r="E104" s="85"/>
      <c r="F104" s="85"/>
      <c r="G104" s="85"/>
      <c r="H104" s="85"/>
      <c r="I104" s="85"/>
      <c r="J104" s="20">
        <f>IF(ISNA(INDEX($A$37:$T$94,MATCH($B104,$B$37:$B$94,0),10)),"",INDEX($A$37:$T$94,MATCH($B104,$B$37:$B$94,0),10))</f>
        <v>8</v>
      </c>
      <c r="K104" s="20">
        <f>IF(ISNA(INDEX($A$37:$T$94,MATCH($B104,$B$37:$B$94,0),11)),"",INDEX($A$37:$T$94,MATCH($B104,$B$37:$B$94,0),11))</f>
        <v>2</v>
      </c>
      <c r="L104" s="20">
        <f>IF(ISNA(INDEX($A$37:$T$94,MATCH($B104,$B$37:$B$94,0),12)),"",INDEX($A$37:$T$94,MATCH($B104,$B$37:$B$94,0),12))</f>
        <v>2</v>
      </c>
      <c r="M104" s="20">
        <f>IF(ISNA(INDEX($A$37:$T$94,MATCH($B104,$B$37:$B$94,0),13)),"",INDEX($A$37:$T$94,MATCH($B104,$B$37:$B$94,0),13))</f>
        <v>0</v>
      </c>
      <c r="N104" s="20">
        <f>IF(ISNA(INDEX($A$37:$T$94,MATCH($B104,$B$37:$B$94,0),14)),"",INDEX($A$37:$T$94,MATCH($B104,$B$37:$B$94,0),14))</f>
        <v>4</v>
      </c>
      <c r="O104" s="20">
        <f>IF(ISNA(INDEX($A$37:$T$94,MATCH($B104,$B$37:$B$94,0),15)),"",INDEX($A$37:$T$94,MATCH($B104,$B$37:$B$94,0),15))</f>
        <v>10</v>
      </c>
      <c r="P104" s="20">
        <f>IF(ISNA(INDEX($A$37:$T$94,MATCH($B104,$B$37:$B$94,0),16)),"",INDEX($A$37:$T$94,MATCH($B104,$B$37:$B$94,0),16))</f>
        <v>14</v>
      </c>
      <c r="Q104" s="29" t="str">
        <f>IF(ISNA(INDEX($A$37:$T$94,MATCH($B104,$B$37:$B$94,0),17)),"",INDEX($A$37:$T$94,MATCH($B104,$B$37:$B$94,0),17))</f>
        <v>E</v>
      </c>
      <c r="R104" s="29">
        <f>IF(ISNA(INDEX($A$37:$T$94,MATCH($B104,$B$37:$B$94,0),18)),"",INDEX($A$37:$T$94,MATCH($B104,$B$37:$B$94,0),18))</f>
        <v>0</v>
      </c>
      <c r="S104" s="29">
        <f>IF(ISNA(INDEX($A$37:$T$94,MATCH($B104,$B$37:$B$94,0),19)),"",INDEX($A$37:$T$94,MATCH($B104,$B$37:$B$94,0),19))</f>
        <v>0</v>
      </c>
      <c r="T104" s="21" t="s">
        <v>37</v>
      </c>
    </row>
    <row r="105" spans="1:26" ht="28.5" customHeight="1" x14ac:dyDescent="0.2">
      <c r="A105" s="33" t="str">
        <f>IF(ISNA(INDEX($A$37:$T$94,MATCH($B105,$B$37:$B$94,0),1)),"",INDEX($A$37:$T$94,MATCH($B105,$B$37:$B$94,0),1))</f>
        <v>UMR170</v>
      </c>
      <c r="B105" s="86" t="s">
        <v>92</v>
      </c>
      <c r="C105" s="87"/>
      <c r="D105" s="87"/>
      <c r="E105" s="87"/>
      <c r="F105" s="87"/>
      <c r="G105" s="87"/>
      <c r="H105" s="87"/>
      <c r="I105" s="88"/>
      <c r="J105" s="20">
        <f>IF(ISNA(INDEX($A$37:$T$94,MATCH($B105,$B$37:$B$94,0),10)),"",INDEX($A$37:$T$94,MATCH($B105,$B$37:$B$94,0),10))</f>
        <v>8</v>
      </c>
      <c r="K105" s="20">
        <f>IF(ISNA(INDEX($A$37:$T$94,MATCH($B105,$B$37:$B$94,0),11)),"",INDEX($A$37:$T$94,MATCH($B105,$B$37:$B$94,0),11))</f>
        <v>2</v>
      </c>
      <c r="L105" s="20">
        <f>IF(ISNA(INDEX($A$37:$T$94,MATCH($B105,$B$37:$B$94,0),12)),"",INDEX($A$37:$T$94,MATCH($B105,$B$37:$B$94,0),12))</f>
        <v>2</v>
      </c>
      <c r="M105" s="20">
        <f>IF(ISNA(INDEX($A$37:$T$94,MATCH($B105,$B$37:$B$94,0),13)),"",INDEX($A$37:$T$94,MATCH($B105,$B$37:$B$94,0),13))</f>
        <v>2</v>
      </c>
      <c r="N105" s="20">
        <f>IF(ISNA(INDEX($A$37:$T$94,MATCH($B105,$B$37:$B$94,0),14)),"",INDEX($A$37:$T$94,MATCH($B105,$B$37:$B$94,0),14))</f>
        <v>6</v>
      </c>
      <c r="O105" s="20">
        <f>IF(ISNA(INDEX($A$37:$T$94,MATCH($B105,$B$37:$B$94,0),15)),"",INDEX($A$37:$T$94,MATCH($B105,$B$37:$B$94,0),15))</f>
        <v>8</v>
      </c>
      <c r="P105" s="20">
        <f>IF(ISNA(INDEX($A$37:$T$94,MATCH($B105,$B$37:$B$94,0),16)),"",INDEX($A$37:$T$94,MATCH($B105,$B$37:$B$94,0),16))</f>
        <v>14</v>
      </c>
      <c r="Q105" s="29" t="str">
        <f>IF(ISNA(INDEX($A$37:$T$94,MATCH($B105,$B$37:$B$94,0),17)),"",INDEX($A$37:$T$94,MATCH($B105,$B$37:$B$94,0),17))</f>
        <v>E</v>
      </c>
      <c r="R105" s="29">
        <f>IF(ISNA(INDEX($A$37:$T$94,MATCH($B105,$B$37:$B$94,0),18)),"",INDEX($A$37:$T$94,MATCH($B105,$B$37:$B$94,0),18))</f>
        <v>0</v>
      </c>
      <c r="S105" s="29">
        <f>IF(ISNA(INDEX($A$37:$T$94,MATCH($B105,$B$37:$B$94,0),19)),"",INDEX($A$37:$T$94,MATCH($B105,$B$37:$B$94,0),19))</f>
        <v>0</v>
      </c>
      <c r="T105" s="21" t="s">
        <v>37</v>
      </c>
    </row>
    <row r="106" spans="1:26" ht="26.25" customHeight="1" x14ac:dyDescent="0.2">
      <c r="A106" s="81" t="s">
        <v>51</v>
      </c>
      <c r="B106" s="82"/>
      <c r="C106" s="82"/>
      <c r="D106" s="82"/>
      <c r="E106" s="82"/>
      <c r="F106" s="82"/>
      <c r="G106" s="82"/>
      <c r="H106" s="82"/>
      <c r="I106" s="83"/>
      <c r="J106" s="24">
        <f>SUM(J102:J105)</f>
        <v>32</v>
      </c>
      <c r="K106" s="24">
        <f t="shared" ref="K106:P106" si="29">SUM(K102:K105)</f>
        <v>8</v>
      </c>
      <c r="L106" s="24">
        <f t="shared" si="29"/>
        <v>8</v>
      </c>
      <c r="M106" s="24">
        <f t="shared" si="29"/>
        <v>6</v>
      </c>
      <c r="N106" s="24">
        <f t="shared" si="29"/>
        <v>22</v>
      </c>
      <c r="O106" s="24">
        <f t="shared" si="29"/>
        <v>34</v>
      </c>
      <c r="P106" s="24">
        <f t="shared" si="29"/>
        <v>56</v>
      </c>
      <c r="Q106" s="51">
        <f>COUNTIF(Q102:Q105,"E")</f>
        <v>4</v>
      </c>
      <c r="R106" s="51">
        <f>COUNTIF(R102:R105,"C")</f>
        <v>0</v>
      </c>
      <c r="S106" s="51">
        <f>COUNTIF(S102:S105,"VP")</f>
        <v>0</v>
      </c>
      <c r="T106" s="200">
        <v>0.15</v>
      </c>
      <c r="U106" s="55" t="s">
        <v>133</v>
      </c>
      <c r="V106" s="55"/>
      <c r="W106" s="55"/>
      <c r="X106" s="55"/>
      <c r="Y106" s="55"/>
      <c r="Z106" s="54"/>
    </row>
    <row r="107" spans="1:26" ht="22.5" customHeight="1" x14ac:dyDescent="0.2">
      <c r="A107" s="63" t="s">
        <v>52</v>
      </c>
      <c r="B107" s="64"/>
      <c r="C107" s="64"/>
      <c r="D107" s="64"/>
      <c r="E107" s="64"/>
      <c r="F107" s="64"/>
      <c r="G107" s="64"/>
      <c r="H107" s="64"/>
      <c r="I107" s="64"/>
      <c r="J107" s="65"/>
      <c r="K107" s="24">
        <f>K106*14</f>
        <v>112</v>
      </c>
      <c r="L107" s="24">
        <f t="shared" ref="L107:P107" si="30">L106*14</f>
        <v>112</v>
      </c>
      <c r="M107" s="24">
        <f t="shared" si="30"/>
        <v>84</v>
      </c>
      <c r="N107" s="24">
        <f t="shared" si="30"/>
        <v>308</v>
      </c>
      <c r="O107" s="24">
        <f t="shared" si="30"/>
        <v>476</v>
      </c>
      <c r="P107" s="24">
        <f t="shared" si="30"/>
        <v>784</v>
      </c>
      <c r="Q107" s="69"/>
      <c r="R107" s="70"/>
      <c r="S107" s="70"/>
      <c r="T107" s="71"/>
    </row>
    <row r="108" spans="1:26" ht="18" customHeight="1" x14ac:dyDescent="0.2">
      <c r="A108" s="66"/>
      <c r="B108" s="67"/>
      <c r="C108" s="67"/>
      <c r="D108" s="67"/>
      <c r="E108" s="67"/>
      <c r="F108" s="67"/>
      <c r="G108" s="67"/>
      <c r="H108" s="67"/>
      <c r="I108" s="67"/>
      <c r="J108" s="68"/>
      <c r="K108" s="78">
        <f>SUM(K107:M107)</f>
        <v>308</v>
      </c>
      <c r="L108" s="79"/>
      <c r="M108" s="80"/>
      <c r="N108" s="75">
        <v>476</v>
      </c>
      <c r="O108" s="76"/>
      <c r="P108" s="77"/>
      <c r="Q108" s="72"/>
      <c r="R108" s="73"/>
      <c r="S108" s="73"/>
      <c r="T108" s="74"/>
    </row>
    <row r="109" spans="1:26" x14ac:dyDescent="0.2">
      <c r="B109" s="8"/>
      <c r="C109" s="8"/>
      <c r="D109" s="8"/>
      <c r="E109" s="8"/>
      <c r="F109" s="8"/>
      <c r="G109" s="8"/>
      <c r="H109" s="17"/>
      <c r="I109" s="17"/>
      <c r="J109" s="17"/>
      <c r="M109" s="8"/>
      <c r="N109" s="8"/>
      <c r="O109" s="8"/>
      <c r="P109" s="8"/>
      <c r="Q109" s="8"/>
      <c r="R109" s="8"/>
      <c r="S109" s="8"/>
    </row>
    <row r="111" spans="1:26" x14ac:dyDescent="0.2">
      <c r="A111" s="154" t="s">
        <v>56</v>
      </c>
      <c r="B111" s="161"/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</row>
    <row r="112" spans="1:26" x14ac:dyDescent="0.2">
      <c r="A112" s="102" t="s">
        <v>27</v>
      </c>
      <c r="B112" s="102" t="s">
        <v>26</v>
      </c>
      <c r="C112" s="102"/>
      <c r="D112" s="102"/>
      <c r="E112" s="102"/>
      <c r="F112" s="102"/>
      <c r="G112" s="102"/>
      <c r="H112" s="102"/>
      <c r="I112" s="102"/>
      <c r="J112" s="84" t="s">
        <v>41</v>
      </c>
      <c r="K112" s="84" t="s">
        <v>24</v>
      </c>
      <c r="L112" s="84"/>
      <c r="M112" s="84"/>
      <c r="N112" s="84" t="s">
        <v>42</v>
      </c>
      <c r="O112" s="84"/>
      <c r="P112" s="84"/>
      <c r="Q112" s="84" t="s">
        <v>23</v>
      </c>
      <c r="R112" s="84"/>
      <c r="S112" s="84"/>
      <c r="T112" s="84" t="s">
        <v>22</v>
      </c>
    </row>
    <row r="113" spans="1:26" x14ac:dyDescent="0.2">
      <c r="A113" s="102"/>
      <c r="B113" s="102"/>
      <c r="C113" s="102"/>
      <c r="D113" s="102"/>
      <c r="E113" s="102"/>
      <c r="F113" s="102"/>
      <c r="G113" s="102"/>
      <c r="H113" s="102"/>
      <c r="I113" s="102"/>
      <c r="J113" s="84"/>
      <c r="K113" s="30" t="s">
        <v>28</v>
      </c>
      <c r="L113" s="30" t="s">
        <v>29</v>
      </c>
      <c r="M113" s="30" t="s">
        <v>30</v>
      </c>
      <c r="N113" s="30" t="s">
        <v>34</v>
      </c>
      <c r="O113" s="30" t="s">
        <v>7</v>
      </c>
      <c r="P113" s="30" t="s">
        <v>31</v>
      </c>
      <c r="Q113" s="30" t="s">
        <v>32</v>
      </c>
      <c r="R113" s="30" t="s">
        <v>28</v>
      </c>
      <c r="S113" s="30" t="s">
        <v>33</v>
      </c>
      <c r="T113" s="84"/>
    </row>
    <row r="114" spans="1:26" x14ac:dyDescent="0.2">
      <c r="A114" s="89" t="s">
        <v>68</v>
      </c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1"/>
    </row>
    <row r="115" spans="1:26" ht="17.25" customHeight="1" x14ac:dyDescent="0.2">
      <c r="A115" s="33">
        <f>IF(ISNA(INDEX($A$37:$T$94,MATCH($B115,$B$37:$B$94,0),1)),"",INDEX($A$37:$T$94,MATCH($B115,$B$37:$B$94,0),1))</f>
        <v>0</v>
      </c>
      <c r="B115" s="85" t="s">
        <v>98</v>
      </c>
      <c r="C115" s="85"/>
      <c r="D115" s="85"/>
      <c r="E115" s="85"/>
      <c r="F115" s="85"/>
      <c r="G115" s="85"/>
      <c r="H115" s="85"/>
      <c r="I115" s="85"/>
      <c r="J115" s="20">
        <f>IF(ISNA(INDEX($A$37:$T$94,MATCH($B115,$B$37:$B$94,0),10)),"",INDEX($A$37:$T$94,MATCH($B115,$B$37:$B$94,0),10))</f>
        <v>6</v>
      </c>
      <c r="K115" s="20">
        <f>IF(ISNA(INDEX($A$37:$T$94,MATCH($B115,$B$37:$B$94,0),11)),"",INDEX($A$37:$T$94,MATCH($B115,$B$37:$B$94,0),11))</f>
        <v>2</v>
      </c>
      <c r="L115" s="20">
        <f>IF(ISNA(INDEX($A$37:$T$94,MATCH($B115,$B$37:$B$94,0),12)),"",INDEX($A$37:$T$94,MATCH($B115,$B$37:$B$94,0),12))</f>
        <v>1</v>
      </c>
      <c r="M115" s="20">
        <f>IF(ISNA(INDEX($A$37:$T$94,MATCH($B115,$B$37:$B$94,0),13)),"",INDEX($A$37:$T$94,MATCH($B115,$B$37:$B$94,0),13))</f>
        <v>0</v>
      </c>
      <c r="N115" s="20">
        <f>IF(ISNA(INDEX($A$37:$T$94,MATCH($B115,$B$37:$B$94,0),14)),"",INDEX($A$37:$T$94,MATCH($B115,$B$37:$B$94,0),14))</f>
        <v>3</v>
      </c>
      <c r="O115" s="20">
        <f>IF(ISNA(INDEX($A$37:$T$94,MATCH($B115,$B$37:$B$94,0),15)),"",INDEX($A$37:$T$94,MATCH($B115,$B$37:$B$94,0),15))</f>
        <v>8</v>
      </c>
      <c r="P115" s="20">
        <f>IF(ISNA(INDEX($A$37:$T$94,MATCH($B115,$B$37:$B$94,0),16)),"",INDEX($A$37:$T$94,MATCH($B115,$B$37:$B$94,0),16))</f>
        <v>11</v>
      </c>
      <c r="Q115" s="29" t="str">
        <f>IF(ISNA(INDEX($A$37:$T$94,MATCH($B115,$B$37:$B$94,0),17)),"",INDEX($A$37:$T$94,MATCH($B115,$B$37:$B$94,0),17))</f>
        <v>E</v>
      </c>
      <c r="R115" s="29">
        <f>IF(ISNA(INDEX($A$37:$T$94,MATCH($B115,$B$37:$B$94,0),18)),"",INDEX($A$37:$T$94,MATCH($B115,$B$37:$B$94,0),18))</f>
        <v>0</v>
      </c>
      <c r="S115" s="29">
        <f>IF(ISNA(INDEX($A$37:$T$94,MATCH($B115,$B$37:$B$94,0),19)),"",INDEX($A$37:$T$94,MATCH($B115,$B$37:$B$94,0),19))</f>
        <v>0</v>
      </c>
      <c r="T115" s="21" t="s">
        <v>38</v>
      </c>
    </row>
    <row r="116" spans="1:26" x14ac:dyDescent="0.2">
      <c r="A116" s="33">
        <f>IF(ISNA(INDEX($A$37:$T$94,MATCH($B116,$B$37:$B$94,0),1)),"",INDEX($A$37:$T$94,MATCH($B116,$B$37:$B$94,0),1))</f>
        <v>0</v>
      </c>
      <c r="B116" s="85" t="s">
        <v>98</v>
      </c>
      <c r="C116" s="85"/>
      <c r="D116" s="85"/>
      <c r="E116" s="85"/>
      <c r="F116" s="85"/>
      <c r="G116" s="85"/>
      <c r="H116" s="85"/>
      <c r="I116" s="85"/>
      <c r="J116" s="20">
        <f>IF(ISNA(INDEX($A$37:$T$94,MATCH($B116,$B$37:$B$94,0),10)),"",INDEX($A$37:$T$94,MATCH($B116,$B$37:$B$94,0),10))</f>
        <v>6</v>
      </c>
      <c r="K116" s="20">
        <f>IF(ISNA(INDEX($A$37:$T$94,MATCH($B116,$B$37:$B$94,0),11)),"",INDEX($A$37:$T$94,MATCH($B116,$B$37:$B$94,0),11))</f>
        <v>2</v>
      </c>
      <c r="L116" s="20">
        <f>IF(ISNA(INDEX($A$37:$T$94,MATCH($B116,$B$37:$B$94,0),12)),"",INDEX($A$37:$T$94,MATCH($B116,$B$37:$B$94,0),12))</f>
        <v>1</v>
      </c>
      <c r="M116" s="20">
        <f>IF(ISNA(INDEX($A$37:$T$94,MATCH($B116,$B$37:$B$94,0),13)),"",INDEX($A$37:$T$94,MATCH($B116,$B$37:$B$94,0),13))</f>
        <v>0</v>
      </c>
      <c r="N116" s="20">
        <f>IF(ISNA(INDEX($A$37:$T$94,MATCH($B116,$B$37:$B$94,0),14)),"",INDEX($A$37:$T$94,MATCH($B116,$B$37:$B$94,0),14))</f>
        <v>3</v>
      </c>
      <c r="O116" s="20">
        <f>IF(ISNA(INDEX($A$37:$T$94,MATCH($B116,$B$37:$B$94,0),15)),"",INDEX($A$37:$T$94,MATCH($B116,$B$37:$B$94,0),15))</f>
        <v>8</v>
      </c>
      <c r="P116" s="20">
        <f>IF(ISNA(INDEX($A$37:$T$94,MATCH($B116,$B$37:$B$94,0),16)),"",INDEX($A$37:$T$94,MATCH($B116,$B$37:$B$94,0),16))</f>
        <v>11</v>
      </c>
      <c r="Q116" s="29" t="str">
        <f>IF(ISNA(INDEX($A$37:$T$94,MATCH($B116,$B$37:$B$94,0),17)),"",INDEX($A$37:$T$94,MATCH($B116,$B$37:$B$94,0),17))</f>
        <v>E</v>
      </c>
      <c r="R116" s="29">
        <f>IF(ISNA(INDEX($A$37:$T$94,MATCH($B116,$B$37:$B$94,0),18)),"",INDEX($A$37:$T$94,MATCH($B116,$B$37:$B$94,0),18))</f>
        <v>0</v>
      </c>
      <c r="S116" s="29">
        <f>IF(ISNA(INDEX($A$37:$T$94,MATCH($B116,$B$37:$B$94,0),19)),"",INDEX($A$37:$T$94,MATCH($B116,$B$37:$B$94,0),19))</f>
        <v>0</v>
      </c>
      <c r="T116" s="21" t="s">
        <v>38</v>
      </c>
    </row>
    <row r="117" spans="1:26" x14ac:dyDescent="0.2">
      <c r="A117" s="33" t="str">
        <f>IF(ISNA(INDEX($A$37:$T$94,MATCH($B117,$B$37:$B$94,0),1)),"",INDEX($A$37:$T$94,MATCH($B117,$B$37:$B$94,0),1))</f>
        <v>UMR1267</v>
      </c>
      <c r="B117" s="85" t="s">
        <v>89</v>
      </c>
      <c r="C117" s="85"/>
      <c r="D117" s="85"/>
      <c r="E117" s="85"/>
      <c r="F117" s="85"/>
      <c r="G117" s="85"/>
      <c r="H117" s="85"/>
      <c r="I117" s="85"/>
      <c r="J117" s="20">
        <f>IF(ISNA(INDEX($A$37:$T$94,MATCH($B117,$B$37:$B$94,0),10)),"",INDEX($A$37:$T$94,MATCH($B117,$B$37:$B$94,0),10))</f>
        <v>6</v>
      </c>
      <c r="K117" s="20">
        <f>IF(ISNA(INDEX($A$37:$T$94,MATCH($B117,$B$37:$B$94,0),11)),"",INDEX($A$37:$T$94,MATCH($B117,$B$37:$B$94,0),11))</f>
        <v>0</v>
      </c>
      <c r="L117" s="20">
        <f>IF(ISNA(INDEX($A$37:$T$94,MATCH($B117,$B$37:$B$94,0),12)),"",INDEX($A$37:$T$94,MATCH($B117,$B$37:$B$94,0),12))</f>
        <v>0</v>
      </c>
      <c r="M117" s="20">
        <f>IF(ISNA(INDEX($A$37:$T$94,MATCH($B117,$B$37:$B$94,0),13)),"",INDEX($A$37:$T$94,MATCH($B117,$B$37:$B$94,0),13))</f>
        <v>6</v>
      </c>
      <c r="N117" s="20">
        <f>IF(ISNA(INDEX($A$37:$T$94,MATCH($B117,$B$37:$B$94,0),14)),"",INDEX($A$37:$T$94,MATCH($B117,$B$37:$B$94,0),14))</f>
        <v>6</v>
      </c>
      <c r="O117" s="20">
        <f>IF(ISNA(INDEX($A$37:$T$94,MATCH($B117,$B$37:$B$94,0),15)),"",INDEX($A$37:$T$94,MATCH($B117,$B$37:$B$94,0),15))</f>
        <v>5</v>
      </c>
      <c r="P117" s="20">
        <f>IF(ISNA(INDEX($A$37:$T$94,MATCH($B117,$B$37:$B$94,0),16)),"",INDEX($A$37:$T$94,MATCH($B117,$B$37:$B$94,0),16))</f>
        <v>11</v>
      </c>
      <c r="Q117" s="29" t="str">
        <f>IF(ISNA(INDEX($A$37:$T$94,MATCH($B117,$B$37:$B$94,0),17)),"",INDEX($A$37:$T$94,MATCH($B117,$B$37:$B$94,0),17))</f>
        <v>E</v>
      </c>
      <c r="R117" s="29">
        <f>IF(ISNA(INDEX($A$37:$T$94,MATCH($B117,$B$37:$B$94,0),18)),"",INDEX($A$37:$T$94,MATCH($B117,$B$37:$B$94,0),18))</f>
        <v>0</v>
      </c>
      <c r="S117" s="29">
        <f>IF(ISNA(INDEX($A$37:$T$94,MATCH($B117,$B$37:$B$94,0),19)),"",INDEX($A$37:$T$94,MATCH($B117,$B$37:$B$94,0),19))</f>
        <v>0</v>
      </c>
      <c r="T117" s="21" t="s">
        <v>38</v>
      </c>
    </row>
    <row r="118" spans="1:26" ht="24.75" customHeight="1" x14ac:dyDescent="0.2">
      <c r="A118" s="22" t="s">
        <v>25</v>
      </c>
      <c r="B118" s="162"/>
      <c r="C118" s="163"/>
      <c r="D118" s="163"/>
      <c r="E118" s="163"/>
      <c r="F118" s="163"/>
      <c r="G118" s="163"/>
      <c r="H118" s="163"/>
      <c r="I118" s="164"/>
      <c r="J118" s="24">
        <f t="shared" ref="J118:P118" si="31">SUM(J115:J117)</f>
        <v>18</v>
      </c>
      <c r="K118" s="24">
        <f t="shared" si="31"/>
        <v>4</v>
      </c>
      <c r="L118" s="24">
        <f t="shared" si="31"/>
        <v>2</v>
      </c>
      <c r="M118" s="24">
        <f t="shared" si="31"/>
        <v>6</v>
      </c>
      <c r="N118" s="24">
        <f t="shared" si="31"/>
        <v>12</v>
      </c>
      <c r="O118" s="24">
        <f t="shared" si="31"/>
        <v>21</v>
      </c>
      <c r="P118" s="24">
        <f t="shared" si="31"/>
        <v>33</v>
      </c>
      <c r="Q118" s="22">
        <f>COUNTIF(Q115:Q117,"E")</f>
        <v>3</v>
      </c>
      <c r="R118" s="22">
        <f>COUNTIF(R115:R117,"C")</f>
        <v>0</v>
      </c>
      <c r="S118" s="22">
        <f>COUNTIF(S115:S117,"VP")</f>
        <v>0</v>
      </c>
      <c r="T118" s="19"/>
    </row>
    <row r="119" spans="1:26" x14ac:dyDescent="0.2">
      <c r="A119" s="89" t="s">
        <v>69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1"/>
    </row>
    <row r="120" spans="1:26" x14ac:dyDescent="0.2">
      <c r="A120" s="33" t="str">
        <f>IF(ISNA(INDEX($A$37:$T$94,MATCH($B120,$B$37:$B$94,0),1)),"",INDEX($A$37:$T$94,MATCH($B120,$B$37:$B$94,0),1))</f>
        <v>UMR14721</v>
      </c>
      <c r="B120" s="85" t="s">
        <v>112</v>
      </c>
      <c r="C120" s="85"/>
      <c r="D120" s="85"/>
      <c r="E120" s="85"/>
      <c r="F120" s="85"/>
      <c r="G120" s="85"/>
      <c r="H120" s="85"/>
      <c r="I120" s="85"/>
      <c r="J120" s="20">
        <f>IF(ISNA(INDEX($A$37:$T$94,MATCH($B120,$B$37:$B$94,0),10)),"",INDEX($A$37:$T$94,MATCH($B120,$B$37:$B$94,0),10))</f>
        <v>8</v>
      </c>
      <c r="K120" s="20">
        <f>IF(ISNA(INDEX($A$37:$T$94,MATCH($B120,$B$37:$B$94,0),11)),"",INDEX($A$37:$T$94,MATCH($B120,$B$37:$B$94,0),11))</f>
        <v>2</v>
      </c>
      <c r="L120" s="20">
        <f>IF(ISNA(INDEX($A$37:$T$94,MATCH($B120,$B$37:$B$94,0),12)),"",INDEX($A$37:$T$94,MATCH($B120,$B$37:$B$94,0),12))</f>
        <v>2</v>
      </c>
      <c r="M120" s="20">
        <f>IF(ISNA(INDEX($A$37:$T$94,MATCH($B120,$B$37:$B$94,0),13)),"",INDEX($A$37:$T$94,MATCH($B120,$B$37:$B$94,0),13))</f>
        <v>0</v>
      </c>
      <c r="N120" s="20">
        <f>IF(ISNA(INDEX($A$37:$T$94,MATCH($B120,$B$37:$B$94,0),14)),"",INDEX($A$37:$T$94,MATCH($B120,$B$37:$B$94,0),14))</f>
        <v>4</v>
      </c>
      <c r="O120" s="20">
        <f>IF(ISNA(INDEX($A$37:$T$94,MATCH($B120,$B$37:$B$94,0),15)),"",INDEX($A$37:$T$94,MATCH($B120,$B$37:$B$94,0),15))</f>
        <v>13</v>
      </c>
      <c r="P120" s="20">
        <f>IF(ISNA(INDEX($A$37:$T$94,MATCH($B120,$B$37:$B$94,0),16)),"",INDEX($A$37:$T$94,MATCH($B120,$B$37:$B$94,0),16))</f>
        <v>17</v>
      </c>
      <c r="Q120" s="29" t="str">
        <f>IF(ISNA(INDEX($A$37:$T$94,MATCH($B120,$B$37:$B$94,0),17)),"",INDEX($A$37:$T$94,MATCH($B120,$B$37:$B$94,0),17))</f>
        <v>E</v>
      </c>
      <c r="R120" s="29">
        <f>IF(ISNA(INDEX($A$37:$T$94,MATCH($B120,$B$37:$B$94,0),18)),"",INDEX($A$37:$T$94,MATCH($B120,$B$37:$B$94,0),18))</f>
        <v>0</v>
      </c>
      <c r="S120" s="29">
        <f>IF(ISNA(INDEX($A$37:$T$94,MATCH($B120,$B$37:$B$94,0),19)),"",INDEX($A$37:$T$94,MATCH($B120,$B$37:$B$94,0),19))</f>
        <v>0</v>
      </c>
      <c r="T120" s="21" t="s">
        <v>38</v>
      </c>
    </row>
    <row r="121" spans="1:26" x14ac:dyDescent="0.2">
      <c r="A121" s="33" t="str">
        <f>IF(ISNA(INDEX($A$37:$T$94,MATCH($B121,$B$37:$B$94,0),1)),"",INDEX($A$37:$T$94,MATCH($B121,$B$37:$B$94,0),1))</f>
        <v>UME2317</v>
      </c>
      <c r="B121" s="85" t="s">
        <v>122</v>
      </c>
      <c r="C121" s="85"/>
      <c r="D121" s="85"/>
      <c r="E121" s="85"/>
      <c r="F121" s="85"/>
      <c r="G121" s="85"/>
      <c r="H121" s="85"/>
      <c r="I121" s="85"/>
      <c r="J121" s="20">
        <f>IF(ISNA(INDEX($A$37:$T$94,MATCH($B121,$B$37:$B$94,0),10)),"",INDEX($A$37:$T$94,MATCH($B121,$B$37:$B$94,0),10))</f>
        <v>8</v>
      </c>
      <c r="K121" s="20">
        <f>IF(ISNA(INDEX($A$37:$T$94,MATCH($B121,$B$37:$B$94,0),11)),"",INDEX($A$37:$T$94,MATCH($B121,$B$37:$B$94,0),11))</f>
        <v>2</v>
      </c>
      <c r="L121" s="20">
        <f>IF(ISNA(INDEX($A$37:$T$94,MATCH($B121,$B$37:$B$94,0),12)),"",INDEX($A$37:$T$94,MATCH($B121,$B$37:$B$94,0),12))</f>
        <v>2</v>
      </c>
      <c r="M121" s="20">
        <f>IF(ISNA(INDEX($A$37:$T$94,MATCH($B121,$B$37:$B$94,0),13)),"",INDEX($A$37:$T$94,MATCH($B121,$B$37:$B$94,0),13))</f>
        <v>0</v>
      </c>
      <c r="N121" s="20">
        <f>IF(ISNA(INDEX($A$37:$T$94,MATCH($B121,$B$37:$B$94,0),14)),"",INDEX($A$37:$T$94,MATCH($B121,$B$37:$B$94,0),14))</f>
        <v>4</v>
      </c>
      <c r="O121" s="20">
        <f>IF(ISNA(INDEX($A$37:$T$94,MATCH($B121,$B$37:$B$94,0),15)),"",INDEX($A$37:$T$94,MATCH($B121,$B$37:$B$94,0),15))</f>
        <v>13</v>
      </c>
      <c r="P121" s="20">
        <f>IF(ISNA(INDEX($A$37:$T$94,MATCH($B121,$B$37:$B$94,0),16)),"",INDEX($A$37:$T$94,MATCH($B121,$B$37:$B$94,0),16))</f>
        <v>17</v>
      </c>
      <c r="Q121" s="29" t="str">
        <f>IF(ISNA(INDEX($A$37:$T$94,MATCH($B121,$B$37:$B$94,0),17)),"",INDEX($A$37:$T$94,MATCH($B121,$B$37:$B$94,0),17))</f>
        <v>E</v>
      </c>
      <c r="R121" s="29">
        <f>IF(ISNA(INDEX($A$37:$T$94,MATCH($B121,$B$37:$B$94,0),18)),"",INDEX($A$37:$T$94,MATCH($B121,$B$37:$B$94,0),18))</f>
        <v>0</v>
      </c>
      <c r="S121" s="29">
        <f>IF(ISNA(INDEX($A$37:$T$94,MATCH($B121,$B$37:$B$94,0),19)),"",INDEX($A$37:$T$94,MATCH($B121,$B$37:$B$94,0),19))</f>
        <v>0</v>
      </c>
      <c r="T121" s="21" t="s">
        <v>38</v>
      </c>
    </row>
    <row r="122" spans="1:26" x14ac:dyDescent="0.2">
      <c r="A122" s="33" t="str">
        <f>IF(ISNA(INDEX($A$37:$T$94,MATCH($B122,$B$37:$B$94,0),1)),"",INDEX($A$37:$T$94,MATCH($B122,$B$37:$B$94,0),1))</f>
        <v>UMR1267</v>
      </c>
      <c r="B122" s="85" t="s">
        <v>89</v>
      </c>
      <c r="C122" s="85"/>
      <c r="D122" s="85"/>
      <c r="E122" s="85"/>
      <c r="F122" s="85"/>
      <c r="G122" s="85"/>
      <c r="H122" s="85"/>
      <c r="I122" s="85"/>
      <c r="J122" s="20">
        <f>IF(ISNA(INDEX($A$37:$T$94,MATCH($B122,$B$37:$B$94,0),10)),"",INDEX($A$37:$T$94,MATCH($B122,$B$37:$B$94,0),10))</f>
        <v>6</v>
      </c>
      <c r="K122" s="20">
        <f>IF(ISNA(INDEX($A$37:$T$94,MATCH($B122,$B$37:$B$94,0),11)),"",INDEX($A$37:$T$94,MATCH($B122,$B$37:$B$94,0),11))</f>
        <v>0</v>
      </c>
      <c r="L122" s="20">
        <f>IF(ISNA(INDEX($A$37:$T$94,MATCH($B122,$B$37:$B$94,0),12)),"",INDEX($A$37:$T$94,MATCH($B122,$B$37:$B$94,0),12))</f>
        <v>0</v>
      </c>
      <c r="M122" s="20">
        <f>IF(ISNA(INDEX($A$37:$T$94,MATCH($B122,$B$37:$B$94,0),13)),"",INDEX($A$37:$T$94,MATCH($B122,$B$37:$B$94,0),13))</f>
        <v>6</v>
      </c>
      <c r="N122" s="20">
        <f>IF(ISNA(INDEX($A$37:$T$94,MATCH($B122,$B$37:$B$94,0),14)),"",INDEX($A$37:$T$94,MATCH($B122,$B$37:$B$94,0),14))</f>
        <v>6</v>
      </c>
      <c r="O122" s="20">
        <f>IF(ISNA(INDEX($A$37:$T$94,MATCH($B122,$B$37:$B$94,0),15)),"",INDEX($A$37:$T$94,MATCH($B122,$B$37:$B$94,0),15))</f>
        <v>5</v>
      </c>
      <c r="P122" s="20">
        <f>IF(ISNA(INDEX($A$37:$T$94,MATCH($B122,$B$37:$B$94,0),16)),"",INDEX($A$37:$T$94,MATCH($B122,$B$37:$B$94,0),16))</f>
        <v>11</v>
      </c>
      <c r="Q122" s="29" t="str">
        <f>IF(ISNA(INDEX($A$37:$T$94,MATCH($B122,$B$37:$B$94,0),17)),"",INDEX($A$37:$T$94,MATCH($B122,$B$37:$B$94,0),17))</f>
        <v>E</v>
      </c>
      <c r="R122" s="29">
        <f>IF(ISNA(INDEX($A$37:$T$94,MATCH($B122,$B$37:$B$94,0),18)),"",INDEX($A$37:$T$94,MATCH($B122,$B$37:$B$94,0),18))</f>
        <v>0</v>
      </c>
      <c r="S122" s="29">
        <f>IF(ISNA(INDEX($A$37:$T$94,MATCH($B122,$B$37:$B$94,0),19)),"",INDEX($A$37:$T$94,MATCH($B122,$B$37:$B$94,0),19))</f>
        <v>0</v>
      </c>
      <c r="T122" s="21" t="s">
        <v>38</v>
      </c>
    </row>
    <row r="123" spans="1:26" x14ac:dyDescent="0.2">
      <c r="A123" s="22" t="s">
        <v>25</v>
      </c>
      <c r="B123" s="102"/>
      <c r="C123" s="102"/>
      <c r="D123" s="102"/>
      <c r="E123" s="102"/>
      <c r="F123" s="102"/>
      <c r="G123" s="102"/>
      <c r="H123" s="102"/>
      <c r="I123" s="102"/>
      <c r="J123" s="24">
        <f t="shared" ref="J123:P123" si="32">SUM(J120:J122)</f>
        <v>22</v>
      </c>
      <c r="K123" s="24">
        <f t="shared" si="32"/>
        <v>4</v>
      </c>
      <c r="L123" s="24">
        <f t="shared" si="32"/>
        <v>4</v>
      </c>
      <c r="M123" s="24">
        <f t="shared" si="32"/>
        <v>6</v>
      </c>
      <c r="N123" s="24">
        <f t="shared" si="32"/>
        <v>14</v>
      </c>
      <c r="O123" s="24">
        <f t="shared" si="32"/>
        <v>31</v>
      </c>
      <c r="P123" s="24">
        <f t="shared" si="32"/>
        <v>45</v>
      </c>
      <c r="Q123" s="22">
        <f>COUNTIF(Q120:Q122,"E")</f>
        <v>3</v>
      </c>
      <c r="R123" s="22">
        <f>COUNTIF(R120:R122,"C")</f>
        <v>0</v>
      </c>
      <c r="S123" s="22">
        <f>COUNTIF(S120:S122,"VP")</f>
        <v>0</v>
      </c>
      <c r="T123" s="23"/>
    </row>
    <row r="124" spans="1:26" ht="28.5" customHeight="1" x14ac:dyDescent="0.2">
      <c r="A124" s="81" t="s">
        <v>51</v>
      </c>
      <c r="B124" s="82"/>
      <c r="C124" s="82"/>
      <c r="D124" s="82"/>
      <c r="E124" s="82"/>
      <c r="F124" s="82"/>
      <c r="G124" s="82"/>
      <c r="H124" s="82"/>
      <c r="I124" s="83"/>
      <c r="J124" s="24">
        <f t="shared" ref="J124:S124" si="33">SUM(J118,J123)</f>
        <v>40</v>
      </c>
      <c r="K124" s="24">
        <f t="shared" si="33"/>
        <v>8</v>
      </c>
      <c r="L124" s="24">
        <f t="shared" si="33"/>
        <v>6</v>
      </c>
      <c r="M124" s="24">
        <f t="shared" si="33"/>
        <v>12</v>
      </c>
      <c r="N124" s="24">
        <f t="shared" si="33"/>
        <v>26</v>
      </c>
      <c r="O124" s="24">
        <f t="shared" si="33"/>
        <v>52</v>
      </c>
      <c r="P124" s="24">
        <f t="shared" si="33"/>
        <v>78</v>
      </c>
      <c r="Q124" s="24">
        <f t="shared" si="33"/>
        <v>6</v>
      </c>
      <c r="R124" s="24">
        <f t="shared" si="33"/>
        <v>0</v>
      </c>
      <c r="S124" s="24">
        <f t="shared" si="33"/>
        <v>0</v>
      </c>
      <c r="T124" s="200">
        <v>0.25</v>
      </c>
      <c r="U124" s="56"/>
      <c r="V124" s="57"/>
      <c r="W124" s="57"/>
      <c r="X124" s="57"/>
      <c r="Y124" s="57"/>
      <c r="Z124" s="57"/>
    </row>
    <row r="125" spans="1:26" ht="21" customHeight="1" x14ac:dyDescent="0.2">
      <c r="A125" s="63" t="s">
        <v>52</v>
      </c>
      <c r="B125" s="64"/>
      <c r="C125" s="64"/>
      <c r="D125" s="64"/>
      <c r="E125" s="64"/>
      <c r="F125" s="64"/>
      <c r="G125" s="64"/>
      <c r="H125" s="64"/>
      <c r="I125" s="64"/>
      <c r="J125" s="65"/>
      <c r="K125" s="24">
        <f t="shared" ref="K125:P125" si="34">K118*14+K123*12</f>
        <v>104</v>
      </c>
      <c r="L125" s="24">
        <f t="shared" si="34"/>
        <v>76</v>
      </c>
      <c r="M125" s="24">
        <f t="shared" si="34"/>
        <v>156</v>
      </c>
      <c r="N125" s="24">
        <f t="shared" si="34"/>
        <v>336</v>
      </c>
      <c r="O125" s="24">
        <f t="shared" si="34"/>
        <v>666</v>
      </c>
      <c r="P125" s="24">
        <f t="shared" si="34"/>
        <v>1002</v>
      </c>
      <c r="Q125" s="69"/>
      <c r="R125" s="70"/>
      <c r="S125" s="70"/>
      <c r="T125" s="71"/>
    </row>
    <row r="126" spans="1:26" ht="16.5" customHeight="1" x14ac:dyDescent="0.2">
      <c r="A126" s="66"/>
      <c r="B126" s="67"/>
      <c r="C126" s="67"/>
      <c r="D126" s="67"/>
      <c r="E126" s="67"/>
      <c r="F126" s="67"/>
      <c r="G126" s="67"/>
      <c r="H126" s="67"/>
      <c r="I126" s="67"/>
      <c r="J126" s="68"/>
      <c r="K126" s="78">
        <f>SUM(K125:M125)</f>
        <v>336</v>
      </c>
      <c r="L126" s="79"/>
      <c r="M126" s="80"/>
      <c r="N126" s="75">
        <v>666</v>
      </c>
      <c r="O126" s="76"/>
      <c r="P126" s="77"/>
      <c r="Q126" s="72"/>
      <c r="R126" s="73"/>
      <c r="S126" s="73"/>
      <c r="T126" s="74"/>
    </row>
    <row r="127" spans="1:26" ht="16.5" customHeight="1" x14ac:dyDescent="0.2"/>
    <row r="128" spans="1:26" ht="17.25" customHeight="1" x14ac:dyDescent="0.2">
      <c r="B128" s="2"/>
      <c r="C128" s="2"/>
      <c r="D128" s="2"/>
      <c r="E128" s="2"/>
      <c r="F128" s="2"/>
      <c r="G128" s="2"/>
      <c r="M128" s="8"/>
      <c r="N128" s="8"/>
      <c r="O128" s="8"/>
      <c r="P128" s="8"/>
      <c r="Q128" s="8"/>
      <c r="R128" s="8"/>
      <c r="S128" s="8"/>
    </row>
    <row r="129" spans="1:20" x14ac:dyDescent="0.2">
      <c r="B129" s="8"/>
      <c r="C129" s="8"/>
      <c r="D129" s="8"/>
      <c r="E129" s="8"/>
      <c r="F129" s="8"/>
      <c r="G129" s="8"/>
      <c r="H129" s="17"/>
      <c r="I129" s="17"/>
      <c r="J129" s="17"/>
      <c r="M129" s="8"/>
      <c r="N129" s="8"/>
      <c r="O129" s="8"/>
      <c r="P129" s="8"/>
      <c r="Q129" s="8"/>
      <c r="R129" s="8"/>
      <c r="S129" s="8"/>
    </row>
    <row r="130" spans="1:20" x14ac:dyDescent="0.2">
      <c r="A130" s="102" t="s">
        <v>75</v>
      </c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</row>
    <row r="131" spans="1:20" ht="26.25" customHeight="1" x14ac:dyDescent="0.2">
      <c r="A131" s="102" t="s">
        <v>27</v>
      </c>
      <c r="B131" s="102" t="s">
        <v>26</v>
      </c>
      <c r="C131" s="102"/>
      <c r="D131" s="102"/>
      <c r="E131" s="102"/>
      <c r="F131" s="102"/>
      <c r="G131" s="102"/>
      <c r="H131" s="102"/>
      <c r="I131" s="102"/>
      <c r="J131" s="84" t="s">
        <v>41</v>
      </c>
      <c r="K131" s="84" t="s">
        <v>24</v>
      </c>
      <c r="L131" s="84"/>
      <c r="M131" s="84"/>
      <c r="N131" s="84" t="s">
        <v>42</v>
      </c>
      <c r="O131" s="84"/>
      <c r="P131" s="84"/>
      <c r="Q131" s="84" t="s">
        <v>23</v>
      </c>
      <c r="R131" s="84"/>
      <c r="S131" s="84"/>
      <c r="T131" s="84" t="s">
        <v>22</v>
      </c>
    </row>
    <row r="132" spans="1:20" ht="18.75" customHeight="1" x14ac:dyDescent="0.2">
      <c r="A132" s="102"/>
      <c r="B132" s="102"/>
      <c r="C132" s="102"/>
      <c r="D132" s="102"/>
      <c r="E132" s="102"/>
      <c r="F132" s="102"/>
      <c r="G132" s="102"/>
      <c r="H132" s="102"/>
      <c r="I132" s="102"/>
      <c r="J132" s="84"/>
      <c r="K132" s="30" t="s">
        <v>28</v>
      </c>
      <c r="L132" s="30" t="s">
        <v>29</v>
      </c>
      <c r="M132" s="30" t="s">
        <v>30</v>
      </c>
      <c r="N132" s="30" t="s">
        <v>34</v>
      </c>
      <c r="O132" s="30" t="s">
        <v>7</v>
      </c>
      <c r="P132" s="30" t="s">
        <v>31</v>
      </c>
      <c r="Q132" s="30" t="s">
        <v>32</v>
      </c>
      <c r="R132" s="30" t="s">
        <v>28</v>
      </c>
      <c r="S132" s="30" t="s">
        <v>33</v>
      </c>
      <c r="T132" s="84"/>
    </row>
    <row r="133" spans="1:20" ht="15" customHeight="1" x14ac:dyDescent="0.2">
      <c r="A133" s="89" t="s">
        <v>68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1"/>
    </row>
    <row r="134" spans="1:20" ht="17.25" customHeight="1" x14ac:dyDescent="0.2">
      <c r="A134" s="33" t="str">
        <f t="shared" ref="A134:A141" si="35">IF(ISNA(INDEX($A$37:$T$94,MATCH($B134,$B$37:$B$94,0),1)),"",INDEX($A$37:$T$94,MATCH($B134,$B$37:$B$94,0),1))</f>
        <v>UME1101</v>
      </c>
      <c r="B134" s="85" t="s">
        <v>110</v>
      </c>
      <c r="C134" s="85"/>
      <c r="D134" s="85"/>
      <c r="E134" s="85"/>
      <c r="F134" s="85"/>
      <c r="G134" s="85"/>
      <c r="H134" s="85"/>
      <c r="I134" s="85"/>
      <c r="J134" s="20">
        <f t="shared" ref="J134:J141" si="36">IF(ISNA(INDEX($A$37:$T$94,MATCH($B134,$B$37:$B$94,0),10)),"",INDEX($A$37:$T$94,MATCH($B134,$B$37:$B$94,0),10))</f>
        <v>8</v>
      </c>
      <c r="K134" s="20">
        <f t="shared" ref="K134:K141" si="37">IF(ISNA(INDEX($A$37:$T$94,MATCH($B134,$B$37:$B$94,0),11)),"",INDEX($A$37:$T$94,MATCH($B134,$B$37:$B$94,0),11))</f>
        <v>2</v>
      </c>
      <c r="L134" s="20">
        <f t="shared" ref="L134:L141" si="38">IF(ISNA(INDEX($A$37:$T$94,MATCH($B134,$B$37:$B$94,0),12)),"",INDEX($A$37:$T$94,MATCH($B134,$B$37:$B$94,0),12))</f>
        <v>2</v>
      </c>
      <c r="M134" s="20">
        <f t="shared" ref="M134:M141" si="39">IF(ISNA(INDEX($A$37:$T$94,MATCH($B134,$B$37:$B$94,0),13)),"",INDEX($A$37:$T$94,MATCH($B134,$B$37:$B$94,0),13))</f>
        <v>1</v>
      </c>
      <c r="N134" s="20">
        <f t="shared" ref="N134:N141" si="40">IF(ISNA(INDEX($A$37:$T$94,MATCH($B134,$B$37:$B$94,0),14)),"",INDEX($A$37:$T$94,MATCH($B134,$B$37:$B$94,0),14))</f>
        <v>5</v>
      </c>
      <c r="O134" s="20">
        <f t="shared" ref="O134:O141" si="41">IF(ISNA(INDEX($A$37:$T$94,MATCH($B134,$B$37:$B$94,0),15)),"",INDEX($A$37:$T$94,MATCH($B134,$B$37:$B$94,0),15))</f>
        <v>9</v>
      </c>
      <c r="P134" s="20">
        <f t="shared" ref="P134:P141" si="42">IF(ISNA(INDEX($A$37:$T$94,MATCH($B134,$B$37:$B$94,0),16)),"",INDEX($A$37:$T$94,MATCH($B134,$B$37:$B$94,0),16))</f>
        <v>14</v>
      </c>
      <c r="Q134" s="29" t="str">
        <f t="shared" ref="Q134:Q141" si="43">IF(ISNA(INDEX($A$37:$T$94,MATCH($B134,$B$37:$B$94,0),17)),"",INDEX($A$37:$T$94,MATCH($B134,$B$37:$B$94,0),17))</f>
        <v>E</v>
      </c>
      <c r="R134" s="29">
        <f t="shared" ref="R134:R141" si="44">IF(ISNA(INDEX($A$37:$T$94,MATCH($B134,$B$37:$B$94,0),18)),"",INDEX($A$37:$T$94,MATCH($B134,$B$37:$B$94,0),18))</f>
        <v>0</v>
      </c>
      <c r="S134" s="29">
        <f t="shared" ref="S134:S141" si="45">IF(ISNA(INDEX($A$37:$T$94,MATCH($B134,$B$37:$B$94,0),19)),"",INDEX($A$37:$T$94,MATCH($B134,$B$37:$B$94,0),19))</f>
        <v>0</v>
      </c>
      <c r="T134" s="19" t="s">
        <v>39</v>
      </c>
    </row>
    <row r="135" spans="1:20" ht="16.5" customHeight="1" x14ac:dyDescent="0.2">
      <c r="A135" s="33" t="str">
        <f t="shared" si="35"/>
        <v>UMR1263</v>
      </c>
      <c r="B135" s="85" t="s">
        <v>83</v>
      </c>
      <c r="C135" s="85"/>
      <c r="D135" s="85"/>
      <c r="E135" s="85"/>
      <c r="F135" s="85"/>
      <c r="G135" s="85"/>
      <c r="H135" s="85"/>
      <c r="I135" s="85"/>
      <c r="J135" s="20">
        <f t="shared" si="36"/>
        <v>6</v>
      </c>
      <c r="K135" s="20">
        <f t="shared" si="37"/>
        <v>2</v>
      </c>
      <c r="L135" s="20">
        <f t="shared" si="38"/>
        <v>2</v>
      </c>
      <c r="M135" s="20">
        <f t="shared" si="39"/>
        <v>0</v>
      </c>
      <c r="N135" s="20">
        <f t="shared" si="40"/>
        <v>4</v>
      </c>
      <c r="O135" s="20">
        <f t="shared" si="41"/>
        <v>7</v>
      </c>
      <c r="P135" s="20">
        <f t="shared" si="42"/>
        <v>11</v>
      </c>
      <c r="Q135" s="29" t="str">
        <f t="shared" si="43"/>
        <v>E</v>
      </c>
      <c r="R135" s="29">
        <f t="shared" si="44"/>
        <v>0</v>
      </c>
      <c r="S135" s="29">
        <f t="shared" si="45"/>
        <v>0</v>
      </c>
      <c r="T135" s="19" t="s">
        <v>39</v>
      </c>
    </row>
    <row r="136" spans="1:20" ht="15.75" customHeight="1" x14ac:dyDescent="0.2">
      <c r="A136" s="33" t="str">
        <f t="shared" si="35"/>
        <v>UMR1264</v>
      </c>
      <c r="B136" s="85" t="s">
        <v>84</v>
      </c>
      <c r="C136" s="85"/>
      <c r="D136" s="85"/>
      <c r="E136" s="85"/>
      <c r="F136" s="85"/>
      <c r="G136" s="85"/>
      <c r="H136" s="85"/>
      <c r="I136" s="85"/>
      <c r="J136" s="20">
        <f t="shared" si="36"/>
        <v>6</v>
      </c>
      <c r="K136" s="20">
        <f t="shared" si="37"/>
        <v>2</v>
      </c>
      <c r="L136" s="20">
        <f t="shared" si="38"/>
        <v>2</v>
      </c>
      <c r="M136" s="20">
        <f t="shared" si="39"/>
        <v>0</v>
      </c>
      <c r="N136" s="20">
        <f t="shared" si="40"/>
        <v>4</v>
      </c>
      <c r="O136" s="20">
        <f t="shared" si="41"/>
        <v>7</v>
      </c>
      <c r="P136" s="20">
        <f t="shared" si="42"/>
        <v>11</v>
      </c>
      <c r="Q136" s="29" t="str">
        <f t="shared" si="43"/>
        <v>E</v>
      </c>
      <c r="R136" s="29">
        <f t="shared" si="44"/>
        <v>0</v>
      </c>
      <c r="S136" s="29">
        <f t="shared" si="45"/>
        <v>0</v>
      </c>
      <c r="T136" s="19" t="s">
        <v>39</v>
      </c>
    </row>
    <row r="137" spans="1:20" ht="24" customHeight="1" x14ac:dyDescent="0.2">
      <c r="A137" s="33" t="str">
        <f t="shared" si="35"/>
        <v>UMR1265</v>
      </c>
      <c r="B137" s="85" t="s">
        <v>85</v>
      </c>
      <c r="C137" s="85"/>
      <c r="D137" s="85"/>
      <c r="E137" s="85"/>
      <c r="F137" s="85"/>
      <c r="G137" s="85"/>
      <c r="H137" s="85"/>
      <c r="I137" s="85"/>
      <c r="J137" s="20">
        <f t="shared" si="36"/>
        <v>6</v>
      </c>
      <c r="K137" s="20">
        <f t="shared" si="37"/>
        <v>2</v>
      </c>
      <c r="L137" s="20">
        <f t="shared" si="38"/>
        <v>2</v>
      </c>
      <c r="M137" s="20">
        <f t="shared" si="39"/>
        <v>0</v>
      </c>
      <c r="N137" s="20">
        <f t="shared" si="40"/>
        <v>4</v>
      </c>
      <c r="O137" s="20">
        <f t="shared" si="41"/>
        <v>7</v>
      </c>
      <c r="P137" s="20">
        <f t="shared" si="42"/>
        <v>11</v>
      </c>
      <c r="Q137" s="29" t="str">
        <f t="shared" si="43"/>
        <v>E</v>
      </c>
      <c r="R137" s="29">
        <f t="shared" si="44"/>
        <v>0</v>
      </c>
      <c r="S137" s="29">
        <f t="shared" si="45"/>
        <v>0</v>
      </c>
      <c r="T137" s="19" t="s">
        <v>39</v>
      </c>
    </row>
    <row r="138" spans="1:20" ht="15.75" customHeight="1" x14ac:dyDescent="0.2">
      <c r="A138" s="33" t="str">
        <f t="shared" si="35"/>
        <v>UMR2207</v>
      </c>
      <c r="B138" s="85" t="s">
        <v>88</v>
      </c>
      <c r="C138" s="85"/>
      <c r="D138" s="85"/>
      <c r="E138" s="85"/>
      <c r="F138" s="85"/>
      <c r="G138" s="85"/>
      <c r="H138" s="85"/>
      <c r="I138" s="85"/>
      <c r="J138" s="20">
        <f t="shared" si="36"/>
        <v>6</v>
      </c>
      <c r="K138" s="20">
        <f t="shared" si="37"/>
        <v>2</v>
      </c>
      <c r="L138" s="20">
        <f t="shared" si="38"/>
        <v>1</v>
      </c>
      <c r="M138" s="20">
        <f t="shared" si="39"/>
        <v>0</v>
      </c>
      <c r="N138" s="20">
        <f t="shared" si="40"/>
        <v>3</v>
      </c>
      <c r="O138" s="20">
        <f t="shared" si="41"/>
        <v>8</v>
      </c>
      <c r="P138" s="20">
        <f t="shared" si="42"/>
        <v>11</v>
      </c>
      <c r="Q138" s="29" t="str">
        <f t="shared" si="43"/>
        <v>E</v>
      </c>
      <c r="R138" s="29">
        <f t="shared" si="44"/>
        <v>0</v>
      </c>
      <c r="S138" s="29">
        <f t="shared" si="45"/>
        <v>0</v>
      </c>
      <c r="T138" s="19" t="s">
        <v>39</v>
      </c>
    </row>
    <row r="139" spans="1:20" ht="17.25" customHeight="1" x14ac:dyDescent="0.2">
      <c r="A139" s="33" t="str">
        <f t="shared" si="35"/>
        <v>UMR1368</v>
      </c>
      <c r="B139" s="85" t="s">
        <v>111</v>
      </c>
      <c r="C139" s="85"/>
      <c r="D139" s="85"/>
      <c r="E139" s="85"/>
      <c r="F139" s="85"/>
      <c r="G139" s="85"/>
      <c r="H139" s="85"/>
      <c r="I139" s="85"/>
      <c r="J139" s="20">
        <f t="shared" si="36"/>
        <v>8</v>
      </c>
      <c r="K139" s="20">
        <f t="shared" si="37"/>
        <v>2</v>
      </c>
      <c r="L139" s="20">
        <f t="shared" si="38"/>
        <v>2</v>
      </c>
      <c r="M139" s="20">
        <f t="shared" si="39"/>
        <v>3</v>
      </c>
      <c r="N139" s="20">
        <f t="shared" si="40"/>
        <v>7</v>
      </c>
      <c r="O139" s="20">
        <f t="shared" si="41"/>
        <v>7</v>
      </c>
      <c r="P139" s="20">
        <f t="shared" si="42"/>
        <v>14</v>
      </c>
      <c r="Q139" s="29" t="str">
        <f t="shared" si="43"/>
        <v>E</v>
      </c>
      <c r="R139" s="29">
        <f t="shared" si="44"/>
        <v>0</v>
      </c>
      <c r="S139" s="29">
        <f t="shared" si="45"/>
        <v>0</v>
      </c>
      <c r="T139" s="19" t="s">
        <v>39</v>
      </c>
    </row>
    <row r="140" spans="1:20" ht="15.75" customHeight="1" x14ac:dyDescent="0.2">
      <c r="A140" s="33" t="str">
        <f t="shared" si="35"/>
        <v>UMR2210</v>
      </c>
      <c r="B140" s="85" t="s">
        <v>125</v>
      </c>
      <c r="C140" s="85"/>
      <c r="D140" s="85"/>
      <c r="E140" s="85"/>
      <c r="F140" s="85"/>
      <c r="G140" s="85"/>
      <c r="H140" s="85"/>
      <c r="I140" s="85"/>
      <c r="J140" s="20">
        <f t="shared" si="36"/>
        <v>6</v>
      </c>
      <c r="K140" s="20">
        <f t="shared" si="37"/>
        <v>2</v>
      </c>
      <c r="L140" s="20">
        <f t="shared" si="38"/>
        <v>1</v>
      </c>
      <c r="M140" s="20">
        <f t="shared" si="39"/>
        <v>0</v>
      </c>
      <c r="N140" s="20">
        <f t="shared" si="40"/>
        <v>3</v>
      </c>
      <c r="O140" s="20">
        <f t="shared" si="41"/>
        <v>8</v>
      </c>
      <c r="P140" s="20">
        <f t="shared" si="42"/>
        <v>11</v>
      </c>
      <c r="Q140" s="29" t="str">
        <f t="shared" si="43"/>
        <v>E</v>
      </c>
      <c r="R140" s="29">
        <f t="shared" si="44"/>
        <v>0</v>
      </c>
      <c r="S140" s="29">
        <f t="shared" si="45"/>
        <v>0</v>
      </c>
      <c r="T140" s="19" t="s">
        <v>39</v>
      </c>
    </row>
    <row r="141" spans="1:20" x14ac:dyDescent="0.2">
      <c r="A141" s="33" t="str">
        <f t="shared" si="35"/>
        <v>UME1309</v>
      </c>
      <c r="B141" s="166" t="s">
        <v>116</v>
      </c>
      <c r="C141" s="167"/>
      <c r="D141" s="167"/>
      <c r="E141" s="167"/>
      <c r="F141" s="167"/>
      <c r="G141" s="167"/>
      <c r="H141" s="167"/>
      <c r="I141" s="168"/>
      <c r="J141" s="20">
        <f t="shared" si="36"/>
        <v>6</v>
      </c>
      <c r="K141" s="20">
        <f t="shared" si="37"/>
        <v>2</v>
      </c>
      <c r="L141" s="20">
        <f t="shared" si="38"/>
        <v>1</v>
      </c>
      <c r="M141" s="20">
        <f t="shared" si="39"/>
        <v>0</v>
      </c>
      <c r="N141" s="20">
        <f t="shared" si="40"/>
        <v>3</v>
      </c>
      <c r="O141" s="20">
        <f t="shared" si="41"/>
        <v>8</v>
      </c>
      <c r="P141" s="20">
        <f t="shared" si="42"/>
        <v>11</v>
      </c>
      <c r="Q141" s="29" t="str">
        <f t="shared" si="43"/>
        <v>E</v>
      </c>
      <c r="R141" s="29">
        <f t="shared" si="44"/>
        <v>0</v>
      </c>
      <c r="S141" s="29">
        <f t="shared" si="45"/>
        <v>0</v>
      </c>
      <c r="T141" s="52" t="s">
        <v>39</v>
      </c>
    </row>
    <row r="142" spans="1:20" x14ac:dyDescent="0.2">
      <c r="A142" s="22" t="s">
        <v>25</v>
      </c>
      <c r="B142" s="162"/>
      <c r="C142" s="163"/>
      <c r="D142" s="163"/>
      <c r="E142" s="163"/>
      <c r="F142" s="163"/>
      <c r="G142" s="163"/>
      <c r="H142" s="163"/>
      <c r="I142" s="164"/>
      <c r="J142" s="24">
        <f>SUM(J134:J141)</f>
        <v>52</v>
      </c>
      <c r="K142" s="24">
        <f t="shared" ref="K142:P142" si="46">SUM(K134:K141)</f>
        <v>16</v>
      </c>
      <c r="L142" s="24">
        <f t="shared" si="46"/>
        <v>13</v>
      </c>
      <c r="M142" s="24">
        <f t="shared" si="46"/>
        <v>4</v>
      </c>
      <c r="N142" s="24">
        <f t="shared" si="46"/>
        <v>33</v>
      </c>
      <c r="O142" s="24">
        <f t="shared" si="46"/>
        <v>61</v>
      </c>
      <c r="P142" s="24">
        <f t="shared" si="46"/>
        <v>94</v>
      </c>
      <c r="Q142" s="22">
        <f>COUNTIF(Q134:Q141,"E")</f>
        <v>8</v>
      </c>
      <c r="R142" s="22">
        <f>COUNTIF(R134:R141,"C")</f>
        <v>0</v>
      </c>
      <c r="S142" s="22">
        <f>COUNTIF(S134:S141,"VP")</f>
        <v>0</v>
      </c>
      <c r="T142" s="19"/>
    </row>
    <row r="143" spans="1:20" ht="12.75" customHeight="1" x14ac:dyDescent="0.2">
      <c r="A143" s="89" t="s">
        <v>70</v>
      </c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1"/>
    </row>
    <row r="144" spans="1:20" ht="23.25" customHeight="1" x14ac:dyDescent="0.2">
      <c r="A144" s="33" t="str">
        <f>IF(ISNA(INDEX($A$37:$T$94,MATCH($B144,$B$37:$B$94,0),1)),"",INDEX($A$37:$T$94,MATCH($B144,$B$37:$B$94,0),1))</f>
        <v>UMR14721</v>
      </c>
      <c r="B144" s="85" t="s">
        <v>93</v>
      </c>
      <c r="C144" s="85"/>
      <c r="D144" s="85"/>
      <c r="E144" s="85"/>
      <c r="F144" s="85"/>
      <c r="G144" s="85"/>
      <c r="H144" s="85"/>
      <c r="I144" s="85"/>
      <c r="J144" s="20">
        <f>IF(ISNA(INDEX($A$37:$T$94,MATCH($B144,$B$37:$B$94,0),10)),"",INDEX($A$37:$T$94,MATCH($B144,$B$37:$B$94,0),10))</f>
        <v>8</v>
      </c>
      <c r="K144" s="20">
        <f>IF(ISNA(INDEX($A$37:$T$94,MATCH($B144,$B$37:$B$94,0),11)),"",INDEX($A$37:$T$94,MATCH($B144,$B$37:$B$94,0),11))</f>
        <v>2</v>
      </c>
      <c r="L144" s="20">
        <f>IF(ISNA(INDEX($A$37:$T$94,MATCH($B144,$B$37:$B$94,0),12)),"",INDEX($A$37:$T$94,MATCH($B144,$B$37:$B$94,0),12))</f>
        <v>2</v>
      </c>
      <c r="M144" s="20">
        <f>IF(ISNA(INDEX($A$37:$T$94,MATCH($B144,$B$37:$B$94,0),13)),"",INDEX($A$37:$T$94,MATCH($B144,$B$37:$B$94,0),13))</f>
        <v>2</v>
      </c>
      <c r="N144" s="20">
        <f>IF(ISNA(INDEX($A$37:$T$94,MATCH($B144,$B$37:$B$94,0),14)),"",INDEX($A$37:$T$94,MATCH($B144,$B$37:$B$94,0),14))</f>
        <v>6</v>
      </c>
      <c r="O144" s="20">
        <f>IF(ISNA(INDEX($A$37:$T$94,MATCH($B144,$B$37:$B$94,0),15)),"",INDEX($A$37:$T$94,MATCH($B144,$B$37:$B$94,0),15))</f>
        <v>11</v>
      </c>
      <c r="P144" s="20">
        <f>IF(ISNA(INDEX($A$37:$T$94,MATCH($B144,$B$37:$B$94,0),16)),"",INDEX($A$37:$T$94,MATCH($B144,$B$37:$B$94,0),16))</f>
        <v>17</v>
      </c>
      <c r="Q144" s="29" t="str">
        <f>IF(ISNA(INDEX($A$37:$T$94,MATCH($B144,$B$37:$B$94,0),17)),"",INDEX($A$37:$T$94,MATCH($B144,$B$37:$B$94,0),17))</f>
        <v>E</v>
      </c>
      <c r="R144" s="29">
        <f>IF(ISNA(INDEX($A$37:$T$94,MATCH($B144,$B$37:$B$94,0),18)),"",INDEX($A$37:$T$94,MATCH($B144,$B$37:$B$94,0),18))</f>
        <v>0</v>
      </c>
      <c r="S144" s="29">
        <f>IF(ISNA(INDEX($A$37:$T$94,MATCH($B144,$B$37:$B$94,0),19)),"",INDEX($A$37:$T$94,MATCH($B144,$B$37:$B$94,0),19))</f>
        <v>0</v>
      </c>
      <c r="T144" s="19" t="s">
        <v>39</v>
      </c>
    </row>
    <row r="145" spans="1:26" x14ac:dyDescent="0.2">
      <c r="A145" s="22" t="s">
        <v>25</v>
      </c>
      <c r="B145" s="102"/>
      <c r="C145" s="102"/>
      <c r="D145" s="102"/>
      <c r="E145" s="102"/>
      <c r="F145" s="102"/>
      <c r="G145" s="102"/>
      <c r="H145" s="102"/>
      <c r="I145" s="102"/>
      <c r="J145" s="24">
        <f t="shared" ref="J145:P145" si="47">SUM(J144:J144)</f>
        <v>8</v>
      </c>
      <c r="K145" s="24">
        <f t="shared" si="47"/>
        <v>2</v>
      </c>
      <c r="L145" s="24">
        <f t="shared" si="47"/>
        <v>2</v>
      </c>
      <c r="M145" s="24">
        <f t="shared" si="47"/>
        <v>2</v>
      </c>
      <c r="N145" s="24">
        <f t="shared" si="47"/>
        <v>6</v>
      </c>
      <c r="O145" s="24">
        <f t="shared" si="47"/>
        <v>11</v>
      </c>
      <c r="P145" s="24">
        <f t="shared" si="47"/>
        <v>17</v>
      </c>
      <c r="Q145" s="22">
        <f>COUNTIF(Q144:Q144,"E")</f>
        <v>1</v>
      </c>
      <c r="R145" s="22">
        <f>COUNTIF(R144:R144,"C")</f>
        <v>0</v>
      </c>
      <c r="S145" s="22">
        <f>COUNTIF(S144:S144,"VP")</f>
        <v>0</v>
      </c>
      <c r="T145" s="23"/>
    </row>
    <row r="146" spans="1:26" ht="27" customHeight="1" x14ac:dyDescent="0.2">
      <c r="A146" s="81" t="s">
        <v>51</v>
      </c>
      <c r="B146" s="82"/>
      <c r="C146" s="82"/>
      <c r="D146" s="82"/>
      <c r="E146" s="82"/>
      <c r="F146" s="82"/>
      <c r="G146" s="82"/>
      <c r="H146" s="82"/>
      <c r="I146" s="83"/>
      <c r="J146" s="24">
        <f t="shared" ref="J146:S146" si="48">SUM(J142,J145)</f>
        <v>60</v>
      </c>
      <c r="K146" s="24">
        <f t="shared" si="48"/>
        <v>18</v>
      </c>
      <c r="L146" s="24">
        <f t="shared" si="48"/>
        <v>15</v>
      </c>
      <c r="M146" s="24">
        <f t="shared" si="48"/>
        <v>6</v>
      </c>
      <c r="N146" s="24">
        <f t="shared" si="48"/>
        <v>39</v>
      </c>
      <c r="O146" s="24">
        <f t="shared" si="48"/>
        <v>72</v>
      </c>
      <c r="P146" s="24">
        <f t="shared" si="48"/>
        <v>111</v>
      </c>
      <c r="Q146" s="24">
        <f t="shared" si="48"/>
        <v>9</v>
      </c>
      <c r="R146" s="24">
        <f t="shared" si="48"/>
        <v>0</v>
      </c>
      <c r="S146" s="24">
        <f t="shared" si="48"/>
        <v>0</v>
      </c>
      <c r="T146" s="200">
        <v>0.55000000000000004</v>
      </c>
      <c r="U146" s="56"/>
      <c r="V146" s="57"/>
      <c r="W146" s="57"/>
      <c r="X146" s="57"/>
      <c r="Y146" s="57"/>
      <c r="Z146" s="57"/>
    </row>
    <row r="147" spans="1:26" x14ac:dyDescent="0.2">
      <c r="A147" s="63" t="s">
        <v>52</v>
      </c>
      <c r="B147" s="64"/>
      <c r="C147" s="64"/>
      <c r="D147" s="64"/>
      <c r="E147" s="64"/>
      <c r="F147" s="64"/>
      <c r="G147" s="64"/>
      <c r="H147" s="64"/>
      <c r="I147" s="64"/>
      <c r="J147" s="65"/>
      <c r="K147" s="24">
        <f t="shared" ref="K147:P147" si="49">K142*14+K145*12</f>
        <v>248</v>
      </c>
      <c r="L147" s="24">
        <f t="shared" si="49"/>
        <v>206</v>
      </c>
      <c r="M147" s="24">
        <f t="shared" si="49"/>
        <v>80</v>
      </c>
      <c r="N147" s="24">
        <f t="shared" si="49"/>
        <v>534</v>
      </c>
      <c r="O147" s="24">
        <f t="shared" si="49"/>
        <v>986</v>
      </c>
      <c r="P147" s="24">
        <f t="shared" si="49"/>
        <v>1520</v>
      </c>
      <c r="Q147" s="69"/>
      <c r="R147" s="70"/>
      <c r="S147" s="70"/>
      <c r="T147" s="71"/>
    </row>
    <row r="148" spans="1:26" x14ac:dyDescent="0.2">
      <c r="A148" s="66"/>
      <c r="B148" s="67"/>
      <c r="C148" s="67"/>
      <c r="D148" s="67"/>
      <c r="E148" s="67"/>
      <c r="F148" s="67"/>
      <c r="G148" s="67"/>
      <c r="H148" s="67"/>
      <c r="I148" s="67"/>
      <c r="J148" s="68"/>
      <c r="K148" s="78">
        <f>SUM(K147:M147)</f>
        <v>534</v>
      </c>
      <c r="L148" s="79"/>
      <c r="M148" s="80"/>
      <c r="N148" s="169">
        <v>776</v>
      </c>
      <c r="O148" s="170"/>
      <c r="P148" s="171"/>
      <c r="Q148" s="72"/>
      <c r="R148" s="73"/>
      <c r="S148" s="73"/>
      <c r="T148" s="74"/>
    </row>
    <row r="150" spans="1:26" ht="18" customHeight="1" x14ac:dyDescent="0.2">
      <c r="A150" s="102" t="s">
        <v>76</v>
      </c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</row>
    <row r="151" spans="1:26" s="47" customFormat="1" x14ac:dyDescent="0.2">
      <c r="A151" s="102" t="s">
        <v>27</v>
      </c>
      <c r="B151" s="102" t="s">
        <v>26</v>
      </c>
      <c r="C151" s="102"/>
      <c r="D151" s="102"/>
      <c r="E151" s="102"/>
      <c r="F151" s="102"/>
      <c r="G151" s="102"/>
      <c r="H151" s="102"/>
      <c r="I151" s="102"/>
      <c r="J151" s="84" t="s">
        <v>41</v>
      </c>
      <c r="K151" s="84" t="s">
        <v>24</v>
      </c>
      <c r="L151" s="84"/>
      <c r="M151" s="84"/>
      <c r="N151" s="84" t="s">
        <v>42</v>
      </c>
      <c r="O151" s="84"/>
      <c r="P151" s="84"/>
      <c r="Q151" s="84" t="s">
        <v>23</v>
      </c>
      <c r="R151" s="84"/>
      <c r="S151" s="84"/>
      <c r="T151" s="84" t="s">
        <v>22</v>
      </c>
    </row>
    <row r="152" spans="1:26" x14ac:dyDescent="0.2">
      <c r="A152" s="102"/>
      <c r="B152" s="102"/>
      <c r="C152" s="102"/>
      <c r="D152" s="102"/>
      <c r="E152" s="102"/>
      <c r="F152" s="102"/>
      <c r="G152" s="102"/>
      <c r="H152" s="102"/>
      <c r="I152" s="102"/>
      <c r="J152" s="84"/>
      <c r="K152" s="30" t="s">
        <v>28</v>
      </c>
      <c r="L152" s="30" t="s">
        <v>29</v>
      </c>
      <c r="M152" s="30" t="s">
        <v>30</v>
      </c>
      <c r="N152" s="30" t="s">
        <v>34</v>
      </c>
      <c r="O152" s="30" t="s">
        <v>7</v>
      </c>
      <c r="P152" s="30" t="s">
        <v>31</v>
      </c>
      <c r="Q152" s="30" t="s">
        <v>32</v>
      </c>
      <c r="R152" s="30" t="s">
        <v>28</v>
      </c>
      <c r="S152" s="30" t="s">
        <v>33</v>
      </c>
      <c r="T152" s="84"/>
    </row>
    <row r="153" spans="1:26" ht="18" customHeight="1" x14ac:dyDescent="0.2">
      <c r="A153" s="89" t="s">
        <v>68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1"/>
    </row>
    <row r="154" spans="1:26" x14ac:dyDescent="0.2">
      <c r="A154" s="33" t="str">
        <f>IF(ISNA(INDEX($A$37:$T$94,MATCH($B154,$B$37:$B$94,0),1)),"",INDEX($A$37:$T$94,MATCH($B154,$B$37:$B$94,0),1))</f>
        <v>EME248</v>
      </c>
      <c r="B154" s="85" t="s">
        <v>95</v>
      </c>
      <c r="C154" s="85"/>
      <c r="D154" s="85"/>
      <c r="E154" s="85"/>
      <c r="F154" s="85"/>
      <c r="G154" s="85"/>
      <c r="H154" s="85"/>
      <c r="I154" s="85"/>
      <c r="J154" s="20">
        <f>IF(ISNA(INDEX($A$37:$T$94,MATCH($B154,$B$37:$B$94,0),10)),"",INDEX($A$37:$T$94,MATCH($B154,$B$37:$B$94,0),10))</f>
        <v>6</v>
      </c>
      <c r="K154" s="20">
        <f>IF(ISNA(INDEX($A$37:$T$94,MATCH($B154,$B$37:$B$94,0),11)),"",INDEX($A$37:$T$94,MATCH($B154,$B$37:$B$94,0),11))</f>
        <v>2</v>
      </c>
      <c r="L154" s="20">
        <f>IF(ISNA(INDEX($A$37:$T$94,MATCH($B154,$B$37:$B$94,0),12)),"",INDEX($A$37:$T$94,MATCH($B154,$B$37:$B$94,0),12))</f>
        <v>1</v>
      </c>
      <c r="M154" s="20">
        <f>IF(ISNA(INDEX($A$37:$T$94,MATCH($B154,$B$37:$B$94,0),13)),"",INDEX($A$37:$T$94,MATCH($B154,$B$37:$B$94,0),13))</f>
        <v>0</v>
      </c>
      <c r="N154" s="20">
        <f>IF(ISNA(INDEX($A$37:$T$94,MATCH($B154,$B$37:$B$94,0),14)),"",INDEX($A$37:$T$94,MATCH($B154,$B$37:$B$94,0),14))</f>
        <v>3</v>
      </c>
      <c r="O154" s="20">
        <f>IF(ISNA(INDEX($A$37:$T$94,MATCH($B154,$B$37:$B$94,0),15)),"",INDEX($A$37:$T$94,MATCH($B154,$B$37:$B$94,0),15))</f>
        <v>8</v>
      </c>
      <c r="P154" s="20">
        <f>IF(ISNA(INDEX($A$37:$T$94,MATCH($B154,$B$37:$B$94,0),16)),"",INDEX($A$37:$T$94,MATCH($B154,$B$37:$B$94,0),16))</f>
        <v>11</v>
      </c>
      <c r="Q154" s="29" t="str">
        <f>IF(ISNA(INDEX($A$37:$T$94,MATCH($B154,$B$37:$B$94,0),17)),"",INDEX($A$37:$T$94,MATCH($B154,$B$37:$B$94,0),17))</f>
        <v>E</v>
      </c>
      <c r="R154" s="29">
        <f>IF(ISNA(INDEX($A$37:$T$94,MATCH($B154,$B$37:$B$94,0),18)),"",INDEX($A$37:$T$94,MATCH($B154,$B$37:$B$94,0),18))</f>
        <v>0</v>
      </c>
      <c r="S154" s="29">
        <f>IF(ISNA(INDEX($A$37:$T$94,MATCH($B154,$B$37:$B$94,0),19)),"",INDEX($A$37:$T$94,MATCH($B154,$B$37:$B$94,0),19))</f>
        <v>0</v>
      </c>
      <c r="T154" s="19" t="s">
        <v>40</v>
      </c>
    </row>
    <row r="155" spans="1:26" ht="28.5" customHeight="1" x14ac:dyDescent="0.2">
      <c r="A155" s="81" t="s">
        <v>51</v>
      </c>
      <c r="B155" s="82"/>
      <c r="C155" s="82"/>
      <c r="D155" s="82"/>
      <c r="E155" s="82"/>
      <c r="F155" s="82"/>
      <c r="G155" s="82"/>
      <c r="H155" s="82"/>
      <c r="I155" s="83"/>
      <c r="J155" s="24">
        <f>SUM(J154)</f>
        <v>6</v>
      </c>
      <c r="K155" s="24">
        <f t="shared" ref="K155:P155" si="50">SUM(K154)</f>
        <v>2</v>
      </c>
      <c r="L155" s="24">
        <f t="shared" si="50"/>
        <v>1</v>
      </c>
      <c r="M155" s="24">
        <f t="shared" si="50"/>
        <v>0</v>
      </c>
      <c r="N155" s="24">
        <f t="shared" si="50"/>
        <v>3</v>
      </c>
      <c r="O155" s="24">
        <f t="shared" si="50"/>
        <v>8</v>
      </c>
      <c r="P155" s="24">
        <f t="shared" si="50"/>
        <v>11</v>
      </c>
      <c r="Q155" s="51">
        <f>COUNTIF(Q154:Q154,"E")</f>
        <v>1</v>
      </c>
      <c r="R155" s="51">
        <f>COUNTIF(R154:R154,"C")</f>
        <v>0</v>
      </c>
      <c r="S155" s="51">
        <f>COUNTIF(S154:S154,"VP")</f>
        <v>0</v>
      </c>
      <c r="T155" s="200">
        <v>0.05</v>
      </c>
      <c r="U155" s="56"/>
      <c r="V155" s="57"/>
      <c r="W155" s="57"/>
      <c r="X155" s="57"/>
      <c r="Y155" s="57"/>
      <c r="Z155" s="57"/>
    </row>
    <row r="156" spans="1:26" ht="17.25" customHeight="1" x14ac:dyDescent="0.2">
      <c r="A156" s="63" t="s">
        <v>52</v>
      </c>
      <c r="B156" s="64"/>
      <c r="C156" s="64"/>
      <c r="D156" s="64"/>
      <c r="E156" s="64"/>
      <c r="F156" s="64"/>
      <c r="G156" s="64"/>
      <c r="H156" s="64"/>
      <c r="I156" s="64"/>
      <c r="J156" s="65"/>
      <c r="K156" s="24">
        <f>K155*14</f>
        <v>28</v>
      </c>
      <c r="L156" s="24">
        <f t="shared" ref="L156:P156" si="51">L155*14</f>
        <v>14</v>
      </c>
      <c r="M156" s="24">
        <f t="shared" si="51"/>
        <v>0</v>
      </c>
      <c r="N156" s="24">
        <f t="shared" si="51"/>
        <v>42</v>
      </c>
      <c r="O156" s="24">
        <f t="shared" si="51"/>
        <v>112</v>
      </c>
      <c r="P156" s="24">
        <f t="shared" si="51"/>
        <v>154</v>
      </c>
      <c r="Q156" s="69"/>
      <c r="R156" s="70"/>
      <c r="S156" s="70"/>
      <c r="T156" s="71"/>
    </row>
    <row r="157" spans="1:26" ht="20.25" customHeight="1" x14ac:dyDescent="0.2">
      <c r="A157" s="66"/>
      <c r="B157" s="67"/>
      <c r="C157" s="67"/>
      <c r="D157" s="67"/>
      <c r="E157" s="67"/>
      <c r="F157" s="67"/>
      <c r="G157" s="67"/>
      <c r="H157" s="67"/>
      <c r="I157" s="67"/>
      <c r="J157" s="68"/>
      <c r="K157" s="78">
        <f>SUM(K156:M156)</f>
        <v>42</v>
      </c>
      <c r="L157" s="79"/>
      <c r="M157" s="80"/>
      <c r="N157" s="75">
        <v>112</v>
      </c>
      <c r="O157" s="76"/>
      <c r="P157" s="77"/>
      <c r="Q157" s="72"/>
      <c r="R157" s="73"/>
      <c r="S157" s="73"/>
      <c r="T157" s="74"/>
    </row>
    <row r="158" spans="1:26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3"/>
      <c r="L158" s="13"/>
      <c r="M158" s="13"/>
      <c r="N158" s="14"/>
      <c r="O158" s="14"/>
      <c r="P158" s="14"/>
      <c r="Q158" s="15"/>
      <c r="R158" s="15"/>
      <c r="S158" s="15"/>
      <c r="T158" s="15"/>
    </row>
    <row r="159" spans="1:26" ht="19.5" customHeight="1" x14ac:dyDescent="0.2"/>
    <row r="160" spans="1:26" x14ac:dyDescent="0.2">
      <c r="A160" s="133" t="s">
        <v>65</v>
      </c>
      <c r="B160" s="133"/>
    </row>
    <row r="161" spans="1:20" x14ac:dyDescent="0.2">
      <c r="A161" s="172" t="s">
        <v>27</v>
      </c>
      <c r="B161" s="174" t="s">
        <v>57</v>
      </c>
      <c r="C161" s="175"/>
      <c r="D161" s="175"/>
      <c r="E161" s="175"/>
      <c r="F161" s="175"/>
      <c r="G161" s="176"/>
      <c r="H161" s="174" t="s">
        <v>60</v>
      </c>
      <c r="I161" s="176"/>
      <c r="J161" s="180" t="s">
        <v>61</v>
      </c>
      <c r="K161" s="181"/>
      <c r="L161" s="181"/>
      <c r="M161" s="181"/>
      <c r="N161" s="181"/>
      <c r="O161" s="182"/>
      <c r="P161" s="174" t="s">
        <v>50</v>
      </c>
      <c r="Q161" s="176"/>
      <c r="R161" s="180" t="s">
        <v>62</v>
      </c>
      <c r="S161" s="181"/>
      <c r="T161" s="182"/>
    </row>
    <row r="162" spans="1:20" ht="27.75" customHeight="1" x14ac:dyDescent="0.2">
      <c r="A162" s="173"/>
      <c r="B162" s="177"/>
      <c r="C162" s="178"/>
      <c r="D162" s="178"/>
      <c r="E162" s="178"/>
      <c r="F162" s="178"/>
      <c r="G162" s="179"/>
      <c r="H162" s="177"/>
      <c r="I162" s="179"/>
      <c r="J162" s="180" t="s">
        <v>34</v>
      </c>
      <c r="K162" s="182"/>
      <c r="L162" s="180" t="s">
        <v>7</v>
      </c>
      <c r="M162" s="182"/>
      <c r="N162" s="180" t="s">
        <v>31</v>
      </c>
      <c r="O162" s="182"/>
      <c r="P162" s="177"/>
      <c r="Q162" s="179"/>
      <c r="R162" s="39" t="s">
        <v>63</v>
      </c>
      <c r="S162" s="180" t="s">
        <v>64</v>
      </c>
      <c r="T162" s="182"/>
    </row>
    <row r="163" spans="1:20" ht="17.25" customHeight="1" x14ac:dyDescent="0.2">
      <c r="A163" s="39">
        <v>1</v>
      </c>
      <c r="B163" s="180" t="s">
        <v>58</v>
      </c>
      <c r="C163" s="181"/>
      <c r="D163" s="181"/>
      <c r="E163" s="181"/>
      <c r="F163" s="181"/>
      <c r="G163" s="182"/>
      <c r="H163" s="187">
        <f>J163</f>
        <v>72</v>
      </c>
      <c r="I163" s="187"/>
      <c r="J163" s="188">
        <f>N44+N54+N63+N72-J164</f>
        <v>72</v>
      </c>
      <c r="K163" s="189"/>
      <c r="L163" s="188">
        <f>O44+O54+O63+O72-L164</f>
        <v>120</v>
      </c>
      <c r="M163" s="189"/>
      <c r="N163" s="190">
        <f>SUM(J163:M163)</f>
        <v>192</v>
      </c>
      <c r="O163" s="191"/>
      <c r="P163" s="192">
        <f>H163/H165</f>
        <v>0.88888888888888884</v>
      </c>
      <c r="Q163" s="193"/>
      <c r="R163" s="40">
        <f>J44+J54-R164</f>
        <v>48</v>
      </c>
      <c r="S163" s="194">
        <f>J63+J72-S164</f>
        <v>54</v>
      </c>
      <c r="T163" s="195"/>
    </row>
    <row r="164" spans="1:20" x14ac:dyDescent="0.2">
      <c r="A164" s="39">
        <v>2</v>
      </c>
      <c r="B164" s="180" t="s">
        <v>59</v>
      </c>
      <c r="C164" s="181"/>
      <c r="D164" s="181"/>
      <c r="E164" s="181"/>
      <c r="F164" s="181"/>
      <c r="G164" s="182"/>
      <c r="H164" s="187">
        <f>J164</f>
        <v>9</v>
      </c>
      <c r="I164" s="187"/>
      <c r="J164" s="196">
        <f>N90</f>
        <v>9</v>
      </c>
      <c r="K164" s="197"/>
      <c r="L164" s="196">
        <f>O90</f>
        <v>24</v>
      </c>
      <c r="M164" s="197"/>
      <c r="N164" s="190">
        <f>SUM(J164:M164)</f>
        <v>33</v>
      </c>
      <c r="O164" s="191"/>
      <c r="P164" s="192">
        <f>H164/H165</f>
        <v>0.1111111111111111</v>
      </c>
      <c r="Q164" s="193"/>
      <c r="R164" s="18">
        <v>12</v>
      </c>
      <c r="S164" s="198">
        <v>6</v>
      </c>
      <c r="T164" s="199"/>
    </row>
    <row r="165" spans="1:20" ht="21" customHeight="1" x14ac:dyDescent="0.2">
      <c r="A165" s="180" t="s">
        <v>25</v>
      </c>
      <c r="B165" s="181"/>
      <c r="C165" s="181"/>
      <c r="D165" s="181"/>
      <c r="E165" s="181"/>
      <c r="F165" s="181"/>
      <c r="G165" s="182"/>
      <c r="H165" s="84">
        <f>SUM(H163:I164)</f>
        <v>81</v>
      </c>
      <c r="I165" s="84"/>
      <c r="J165" s="84">
        <f>SUM(J163:K164)</f>
        <v>81</v>
      </c>
      <c r="K165" s="84"/>
      <c r="L165" s="89">
        <f>SUM(L163:M164)</f>
        <v>144</v>
      </c>
      <c r="M165" s="91"/>
      <c r="N165" s="89">
        <f>SUM(N163:O164)</f>
        <v>225</v>
      </c>
      <c r="O165" s="91"/>
      <c r="P165" s="183">
        <f>SUM(P163:Q164)</f>
        <v>1</v>
      </c>
      <c r="Q165" s="184"/>
      <c r="R165" s="41">
        <f>SUM(R163:R164)</f>
        <v>60</v>
      </c>
      <c r="S165" s="185">
        <f>SUM(S163:T164)</f>
        <v>60</v>
      </c>
      <c r="T165" s="186"/>
    </row>
    <row r="167" spans="1:20" ht="12.75" customHeight="1" x14ac:dyDescent="0.2">
      <c r="H167" s="49"/>
      <c r="J167" s="49"/>
    </row>
    <row r="168" spans="1:20" ht="12.75" customHeight="1" x14ac:dyDescent="0.2">
      <c r="B168" s="2"/>
      <c r="C168" s="2"/>
      <c r="D168" s="2"/>
      <c r="E168" s="2"/>
      <c r="F168" s="2"/>
      <c r="G168" s="2"/>
      <c r="M168" s="8"/>
      <c r="N168" s="8"/>
      <c r="O168" s="8"/>
      <c r="P168" s="8"/>
      <c r="Q168" s="8"/>
      <c r="R168" s="8"/>
      <c r="S168" s="8"/>
    </row>
    <row r="169" spans="1:20" x14ac:dyDescent="0.2">
      <c r="B169" s="8"/>
      <c r="C169" s="8"/>
      <c r="D169" s="8"/>
      <c r="E169" s="8"/>
      <c r="F169" s="8"/>
      <c r="G169" s="8"/>
      <c r="H169" s="17"/>
      <c r="I169" s="17"/>
      <c r="J169" s="17"/>
      <c r="M169" s="8"/>
      <c r="N169" s="8"/>
      <c r="O169" s="8"/>
      <c r="P169" s="8"/>
      <c r="Q169" s="8"/>
      <c r="R169" s="8"/>
      <c r="S169" s="8"/>
    </row>
    <row r="172" spans="1:20" ht="22.5" customHeight="1" x14ac:dyDescent="0.2"/>
    <row r="173" spans="1:20" ht="27.75" customHeight="1" x14ac:dyDescent="0.2"/>
    <row r="176" spans="1:20" ht="14.25" customHeight="1" x14ac:dyDescent="0.2"/>
    <row r="181" spans="21:24" ht="30.75" customHeight="1" x14ac:dyDescent="0.2"/>
    <row r="190" spans="21:24" x14ac:dyDescent="0.2">
      <c r="U190" s="60" t="str">
        <f>IF(N164=P90,"Corect","Nu corespunde cu tabelul de opționale")</f>
        <v>Corect</v>
      </c>
      <c r="V190" s="61"/>
      <c r="W190" s="61"/>
      <c r="X190" s="61"/>
    </row>
  </sheetData>
  <sheetProtection formatCells="0" formatRows="0" insertRows="0"/>
  <mergeCells count="250">
    <mergeCell ref="A160:B160"/>
    <mergeCell ref="A155:I155"/>
    <mergeCell ref="A156:J157"/>
    <mergeCell ref="Q156:T157"/>
    <mergeCell ref="K157:M157"/>
    <mergeCell ref="N157:P157"/>
    <mergeCell ref="A165:G165"/>
    <mergeCell ref="H165:I165"/>
    <mergeCell ref="J165:K165"/>
    <mergeCell ref="L165:M165"/>
    <mergeCell ref="N165:O165"/>
    <mergeCell ref="P165:Q165"/>
    <mergeCell ref="S165:T165"/>
    <mergeCell ref="B163:G163"/>
    <mergeCell ref="H163:I163"/>
    <mergeCell ref="J163:K163"/>
    <mergeCell ref="L163:M163"/>
    <mergeCell ref="N163:O163"/>
    <mergeCell ref="P163:Q163"/>
    <mergeCell ref="S163:T163"/>
    <mergeCell ref="B164:G164"/>
    <mergeCell ref="H164:I164"/>
    <mergeCell ref="J164:K164"/>
    <mergeCell ref="L164:M164"/>
    <mergeCell ref="N164:O164"/>
    <mergeCell ref="P164:Q164"/>
    <mergeCell ref="S164:T164"/>
    <mergeCell ref="A161:A162"/>
    <mergeCell ref="B161:G162"/>
    <mergeCell ref="H161:I162"/>
    <mergeCell ref="J161:O161"/>
    <mergeCell ref="P161:Q162"/>
    <mergeCell ref="R161:T161"/>
    <mergeCell ref="J162:K162"/>
    <mergeCell ref="L162:M162"/>
    <mergeCell ref="N162:O162"/>
    <mergeCell ref="S162:T162"/>
    <mergeCell ref="T151:T152"/>
    <mergeCell ref="A150:T150"/>
    <mergeCell ref="Q147:T148"/>
    <mergeCell ref="N151:P151"/>
    <mergeCell ref="A153:T153"/>
    <mergeCell ref="B154:I154"/>
    <mergeCell ref="Q151:S151"/>
    <mergeCell ref="A151:A152"/>
    <mergeCell ref="B151:I152"/>
    <mergeCell ref="J151:J152"/>
    <mergeCell ref="K151:M151"/>
    <mergeCell ref="B145:I145"/>
    <mergeCell ref="B144:I144"/>
    <mergeCell ref="A146:I146"/>
    <mergeCell ref="K148:M148"/>
    <mergeCell ref="N148:P148"/>
    <mergeCell ref="B138:I138"/>
    <mergeCell ref="B137:I137"/>
    <mergeCell ref="B139:I139"/>
    <mergeCell ref="B140:I140"/>
    <mergeCell ref="A147:J148"/>
    <mergeCell ref="A133:T133"/>
    <mergeCell ref="B134:I134"/>
    <mergeCell ref="B135:I135"/>
    <mergeCell ref="B142:I142"/>
    <mergeCell ref="A143:T143"/>
    <mergeCell ref="B136:I136"/>
    <mergeCell ref="A125:J126"/>
    <mergeCell ref="A131:A132"/>
    <mergeCell ref="A130:T130"/>
    <mergeCell ref="J131:J132"/>
    <mergeCell ref="K131:M131"/>
    <mergeCell ref="N131:P131"/>
    <mergeCell ref="Q125:T126"/>
    <mergeCell ref="K126:M126"/>
    <mergeCell ref="N126:P126"/>
    <mergeCell ref="B131:I132"/>
    <mergeCell ref="Q131:S131"/>
    <mergeCell ref="T131:T132"/>
    <mergeCell ref="B141:I141"/>
    <mergeCell ref="B123:I123"/>
    <mergeCell ref="A124:I124"/>
    <mergeCell ref="Q112:S112"/>
    <mergeCell ref="B121:I121"/>
    <mergeCell ref="B122:I122"/>
    <mergeCell ref="B118:I118"/>
    <mergeCell ref="A119:T119"/>
    <mergeCell ref="B120:I120"/>
    <mergeCell ref="B116:I116"/>
    <mergeCell ref="B117:I117"/>
    <mergeCell ref="A111:T111"/>
    <mergeCell ref="A114:T114"/>
    <mergeCell ref="B115:I115"/>
    <mergeCell ref="A112:A113"/>
    <mergeCell ref="B112:I113"/>
    <mergeCell ref="J112:J113"/>
    <mergeCell ref="K112:M112"/>
    <mergeCell ref="T112:T113"/>
    <mergeCell ref="N112:P112"/>
    <mergeCell ref="B88:I88"/>
    <mergeCell ref="B81:I81"/>
    <mergeCell ref="B89:I89"/>
    <mergeCell ref="Q78:S78"/>
    <mergeCell ref="K92:M92"/>
    <mergeCell ref="N92:P92"/>
    <mergeCell ref="Q91:T92"/>
    <mergeCell ref="A90:I90"/>
    <mergeCell ref="A91:J92"/>
    <mergeCell ref="B82:I82"/>
    <mergeCell ref="T78:T79"/>
    <mergeCell ref="B78:I79"/>
    <mergeCell ref="J78:J79"/>
    <mergeCell ref="K78:M78"/>
    <mergeCell ref="N78:P78"/>
    <mergeCell ref="A78:A79"/>
    <mergeCell ref="B85:I85"/>
    <mergeCell ref="B86:I86"/>
    <mergeCell ref="A87:T87"/>
    <mergeCell ref="A1:K1"/>
    <mergeCell ref="A3:K3"/>
    <mergeCell ref="K47:M47"/>
    <mergeCell ref="M19:T19"/>
    <mergeCell ref="M1:T1"/>
    <mergeCell ref="M14:T14"/>
    <mergeCell ref="A4:K5"/>
    <mergeCell ref="A35:T35"/>
    <mergeCell ref="A19:K19"/>
    <mergeCell ref="A17:K17"/>
    <mergeCell ref="M3:N3"/>
    <mergeCell ref="M5:N5"/>
    <mergeCell ref="D26:F26"/>
    <mergeCell ref="A18:K18"/>
    <mergeCell ref="N47:P47"/>
    <mergeCell ref="Q47:S47"/>
    <mergeCell ref="T38:T39"/>
    <mergeCell ref="N38:P38"/>
    <mergeCell ref="K38:M38"/>
    <mergeCell ref="T47:T48"/>
    <mergeCell ref="Q38:S38"/>
    <mergeCell ref="A46:T46"/>
    <mergeCell ref="J47:J48"/>
    <mergeCell ref="A47:A48"/>
    <mergeCell ref="R3:T3"/>
    <mergeCell ref="R4:T4"/>
    <mergeCell ref="R5:T5"/>
    <mergeCell ref="T66:T67"/>
    <mergeCell ref="B63:I63"/>
    <mergeCell ref="B66:I67"/>
    <mergeCell ref="B61:I61"/>
    <mergeCell ref="B62:I62"/>
    <mergeCell ref="A65:T65"/>
    <mergeCell ref="J66:J67"/>
    <mergeCell ref="K66:M66"/>
    <mergeCell ref="N66:P66"/>
    <mergeCell ref="Q66:S66"/>
    <mergeCell ref="A66:A67"/>
    <mergeCell ref="B59:I59"/>
    <mergeCell ref="B53:I53"/>
    <mergeCell ref="B38:I39"/>
    <mergeCell ref="M17:T17"/>
    <mergeCell ref="M13:T13"/>
    <mergeCell ref="B54:I54"/>
    <mergeCell ref="B51:I51"/>
    <mergeCell ref="B52:I52"/>
    <mergeCell ref="O5:Q5"/>
    <mergeCell ref="O6:Q6"/>
    <mergeCell ref="O3:Q3"/>
    <mergeCell ref="O4:Q4"/>
    <mergeCell ref="M4:N4"/>
    <mergeCell ref="A10:K10"/>
    <mergeCell ref="M6:N6"/>
    <mergeCell ref="A7:K7"/>
    <mergeCell ref="A8:K8"/>
    <mergeCell ref="A9:K9"/>
    <mergeCell ref="B40:I40"/>
    <mergeCell ref="B41:I41"/>
    <mergeCell ref="B44:I44"/>
    <mergeCell ref="B49:I49"/>
    <mergeCell ref="B50:I50"/>
    <mergeCell ref="B43:I43"/>
    <mergeCell ref="B47:I48"/>
    <mergeCell ref="A2:K2"/>
    <mergeCell ref="A6:K6"/>
    <mergeCell ref="B84:I84"/>
    <mergeCell ref="M15:T15"/>
    <mergeCell ref="R6:T6"/>
    <mergeCell ref="M8:T11"/>
    <mergeCell ref="A15:K15"/>
    <mergeCell ref="J38:J39"/>
    <mergeCell ref="A37:T37"/>
    <mergeCell ref="M25:T31"/>
    <mergeCell ref="A20:K23"/>
    <mergeCell ref="M21:T23"/>
    <mergeCell ref="I26:K26"/>
    <mergeCell ref="B26:C26"/>
    <mergeCell ref="H26:H27"/>
    <mergeCell ref="A25:G25"/>
    <mergeCell ref="G26:G27"/>
    <mergeCell ref="A13:K13"/>
    <mergeCell ref="A14:K14"/>
    <mergeCell ref="A16:K16"/>
    <mergeCell ref="M16:T16"/>
    <mergeCell ref="A11:K11"/>
    <mergeCell ref="A12:K12"/>
    <mergeCell ref="N18:U18"/>
    <mergeCell ref="A38:A39"/>
    <mergeCell ref="B42:I42"/>
    <mergeCell ref="A98:T98"/>
    <mergeCell ref="A97:T97"/>
    <mergeCell ref="K99:M99"/>
    <mergeCell ref="N99:P99"/>
    <mergeCell ref="B60:I60"/>
    <mergeCell ref="A56:T56"/>
    <mergeCell ref="J57:J58"/>
    <mergeCell ref="K57:M57"/>
    <mergeCell ref="A99:A100"/>
    <mergeCell ref="B99:I100"/>
    <mergeCell ref="J99:J100"/>
    <mergeCell ref="N57:P57"/>
    <mergeCell ref="Q57:S57"/>
    <mergeCell ref="T57:T58"/>
    <mergeCell ref="B68:I68"/>
    <mergeCell ref="B69:I69"/>
    <mergeCell ref="B70:I70"/>
    <mergeCell ref="B71:I71"/>
    <mergeCell ref="A57:A58"/>
    <mergeCell ref="B57:I58"/>
    <mergeCell ref="A77:T77"/>
    <mergeCell ref="B72:I72"/>
    <mergeCell ref="A80:T80"/>
    <mergeCell ref="A83:T83"/>
    <mergeCell ref="A107:J108"/>
    <mergeCell ref="Q107:T108"/>
    <mergeCell ref="N108:P108"/>
    <mergeCell ref="K108:M108"/>
    <mergeCell ref="A106:I106"/>
    <mergeCell ref="Q99:S99"/>
    <mergeCell ref="B103:I103"/>
    <mergeCell ref="B104:I104"/>
    <mergeCell ref="B105:I105"/>
    <mergeCell ref="B102:I102"/>
    <mergeCell ref="A101:T101"/>
    <mergeCell ref="T99:T100"/>
    <mergeCell ref="U124:Z124"/>
    <mergeCell ref="U146:Z146"/>
    <mergeCell ref="U155:Z155"/>
    <mergeCell ref="U72:W72"/>
    <mergeCell ref="U190:X190"/>
    <mergeCell ref="U28:V28"/>
    <mergeCell ref="U29:V29"/>
    <mergeCell ref="U44:W44"/>
    <mergeCell ref="U54:W54"/>
    <mergeCell ref="U63:W63"/>
  </mergeCells>
  <phoneticPr fontId="6" type="noConversion"/>
  <conditionalFormatting sqref="U3:U6 U28:U29">
    <cfRule type="cellIs" dxfId="28" priority="47" operator="equal">
      <formula>"E bine"</formula>
    </cfRule>
  </conditionalFormatting>
  <conditionalFormatting sqref="U3:U6 U28:U29">
    <cfRule type="cellIs" dxfId="27" priority="46" operator="equal">
      <formula>"NU e bine"</formula>
    </cfRule>
  </conditionalFormatting>
  <conditionalFormatting sqref="U3:V6 U28:V29">
    <cfRule type="cellIs" dxfId="26" priority="39" operator="equal">
      <formula>"Suma trebuie să fie 52"</formula>
    </cfRule>
    <cfRule type="cellIs" dxfId="25" priority="40" operator="equal">
      <formula>"Corect"</formula>
    </cfRule>
    <cfRule type="cellIs" dxfId="24" priority="41" operator="equal">
      <formula>SUM($B$28:$J$28)</formula>
    </cfRule>
    <cfRule type="cellIs" dxfId="23" priority="42" operator="lessThan">
      <formula>"(SUM(B28:K28)=52"</formula>
    </cfRule>
    <cfRule type="cellIs" dxfId="22" priority="43" operator="equal">
      <formula>52</formula>
    </cfRule>
    <cfRule type="cellIs" dxfId="21" priority="44" operator="equal">
      <formula>$K$28</formula>
    </cfRule>
    <cfRule type="cellIs" dxfId="20" priority="45" operator="equal">
      <formula>$B$28:$K$28=52</formula>
    </cfRule>
  </conditionalFormatting>
  <conditionalFormatting sqref="U3:V6 U28:V29">
    <cfRule type="cellIs" dxfId="19" priority="37" operator="equal">
      <formula>"Suma trebuie să fie 52"</formula>
    </cfRule>
    <cfRule type="cellIs" dxfId="18" priority="38" operator="equal">
      <formula>"Corect"</formula>
    </cfRule>
  </conditionalFormatting>
  <conditionalFormatting sqref="U3:X6">
    <cfRule type="cellIs" dxfId="17" priority="36" operator="equal">
      <formula>"Trebuie alocate cel puțin 20 de ore pe săptămână"</formula>
    </cfRule>
  </conditionalFormatting>
  <conditionalFormatting sqref="U28:V29">
    <cfRule type="cellIs" dxfId="16" priority="24" operator="equal">
      <formula>"Corect"</formula>
    </cfRule>
  </conditionalFormatting>
  <conditionalFormatting sqref="U28:V28">
    <cfRule type="cellIs" dxfId="15" priority="23" operator="equal">
      <formula>"Correct"</formula>
    </cfRule>
  </conditionalFormatting>
  <conditionalFormatting sqref="U44:W44 U54:W54 U63:W63 U72:W72">
    <cfRule type="cellIs" dxfId="14" priority="20" operator="equal">
      <formula>"E trebuie să fie cel puțin egal cu C+VP"</formula>
    </cfRule>
    <cfRule type="cellIs" dxfId="13" priority="21" operator="equal">
      <formula>"Corect"</formula>
    </cfRule>
  </conditionalFormatting>
  <conditionalFormatting sqref="U190">
    <cfRule type="cellIs" dxfId="12" priority="13" operator="equal">
      <formula>"E bine"</formula>
    </cfRule>
  </conditionalFormatting>
  <conditionalFormatting sqref="U190">
    <cfRule type="cellIs" dxfId="11" priority="12" operator="equal">
      <formula>"NU e bine"</formula>
    </cfRule>
  </conditionalFormatting>
  <conditionalFormatting sqref="U190:V190">
    <cfRule type="cellIs" dxfId="10" priority="10" operator="equal">
      <formula>"Suma trebuie să fie 52"</formula>
    </cfRule>
    <cfRule type="cellIs" dxfId="9" priority="11" operator="equal">
      <formula>"Corect"</formula>
    </cfRule>
  </conditionalFormatting>
  <conditionalFormatting sqref="U190:V190">
    <cfRule type="cellIs" dxfId="8" priority="2" operator="equal">
      <formula>"Nu corespunde cu tabelul de opționale"</formula>
    </cfRule>
    <cfRule type="cellIs" dxfId="7" priority="3" operator="equal">
      <formula>"Suma trebuie să fie 52"</formula>
    </cfRule>
    <cfRule type="cellIs" dxfId="6" priority="4" operator="equal">
      <formula>"Corect"</formula>
    </cfRule>
    <cfRule type="cellIs" dxfId="5" priority="5" operator="equal">
      <formula>SUM($B$28:$J$28)</formula>
    </cfRule>
    <cfRule type="cellIs" dxfId="4" priority="6" operator="lessThan">
      <formula>"(SUM(B28:K28)=52"</formula>
    </cfRule>
    <cfRule type="cellIs" dxfId="3" priority="7" operator="equal">
      <formula>52</formula>
    </cfRule>
    <cfRule type="cellIs" dxfId="2" priority="8" operator="equal">
      <formula>$K$28</formula>
    </cfRule>
    <cfRule type="cellIs" dxfId="1" priority="9" operator="equal">
      <formula>$B$28:$K$28=52</formula>
    </cfRule>
  </conditionalFormatting>
  <conditionalFormatting sqref="U190:X190">
    <cfRule type="cellIs" dxfId="0" priority="1" operator="equal">
      <formula>"Corect"</formula>
    </cfRule>
  </conditionalFormatting>
  <dataValidations disablePrompts="1" count="6">
    <dataValidation type="list" allowBlank="1" showInputMessage="1" showErrorMessage="1" sqref="T154 T134:T141 T115:T117 T144 T102:T105 T68:T71 T59:T62 T49:T53 T40:T43 T81:T82 T84:T86 T88:T89 T120:T122">
      <formula1>$O$36:$S$36</formula1>
    </dataValidation>
    <dataValidation type="list" allowBlank="1" showInputMessage="1" showErrorMessage="1" sqref="B154:I154 C134:I140 B115:I117 B144:I144 B102:I105 B120:I122 B134:B141">
      <formula1>$B$38:$B$94</formula1>
    </dataValidation>
    <dataValidation type="list" allowBlank="1" showInputMessage="1" showErrorMessage="1" sqref="T118 T142">
      <formula1>$P$36:$S$36</formula1>
    </dataValidation>
    <dataValidation type="list" allowBlank="1" showInputMessage="1" showErrorMessage="1" sqref="R84:R86 R68:R71 R59:R62 R49:R53 R40:R43 R81:R82 R88:R89">
      <formula1>$R$39</formula1>
    </dataValidation>
    <dataValidation type="list" allowBlank="1" showInputMessage="1" showErrorMessage="1" sqref="Q84:Q86 Q68:Q71 Q59:Q62 Q49:Q53 Q40:Q43 Q81:Q82 Q88:Q89">
      <formula1>$Q$39</formula1>
    </dataValidation>
    <dataValidation type="list" allowBlank="1" showInputMessage="1" showErrorMessage="1" sqref="S84:S86 S68:S71 S59:S62 S49:S53 S40:S43 S81:S82 S88:S89">
      <formula1>$S$39</formula1>
    </dataValidation>
  </dataValidations>
  <pageMargins left="0.35433070866141736" right="0.70866141732283472" top="0.74803149606299213" bottom="0.74803149606299213" header="0.31496062992125984" footer="0.31496062992125984"/>
  <pageSetup paperSize="9" orientation="landscape" blackAndWhite="1" r:id="rId1"/>
  <headerFooter>
    <oddFooter>&amp;LRECTOR,
Acad.Prof.univ.dr. Ioan Aurel POP&amp;CPag. &amp;P/&amp;N&amp;RDECAN, 
Prof. univ. dr. Călin Emilian Hințea</oddFooter>
  </headerFooter>
  <ignoredErrors>
    <ignoredError sqref="Q44" formula="1"/>
    <ignoredError sqref="K9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65F519A038A54CBA5F46150B1BB5E2" ma:contentTypeVersion="0" ma:contentTypeDescription="Create a new document." ma:contentTypeScope="" ma:versionID="75f9046c7ce82567e486d3f9dade313c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62FECB1-8D08-4EE9-BF3D-BB301A6B6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C1D7C3D-CD1C-4E23-ACB7-36880E4CAB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402B69-1F69-48E1-89CD-2C488D8E1F64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Gelu</dc:creator>
  <cp:lastModifiedBy>kantor ana</cp:lastModifiedBy>
  <cp:lastPrinted>2015-03-19T11:51:38Z</cp:lastPrinted>
  <dcterms:created xsi:type="dcterms:W3CDTF">2013-06-27T08:19:59Z</dcterms:created>
  <dcterms:modified xsi:type="dcterms:W3CDTF">2015-03-19T14:02:31Z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0x010100AB65F519A038A54CBA5F46150B1BB5E2</vt:lpwstr>
  </property>
</Properties>
</file>