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0" yWindow="-15" windowWidth="8805" windowHeight="9105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RAPORT!$A$198:$AF$222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Academic!$A$1:$U$78</definedName>
    <definedName name="Score">RAPORT!$A$87:$B$187</definedName>
    <definedName name="Score_Table">RAPORT!$A$85:$B$138</definedName>
  </definedNames>
  <calcPr calcId="144525"/>
</workbook>
</file>

<file path=xl/calcChain.xml><?xml version="1.0" encoding="utf-8"?>
<calcChain xmlns="http://schemas.openxmlformats.org/spreadsheetml/2006/main">
  <c r="N31" i="7" l="1"/>
  <c r="X221" i="1" s="1"/>
  <c r="O31" i="7"/>
  <c r="P31" i="7"/>
  <c r="Z221" i="1" s="1"/>
  <c r="Q31" i="7"/>
  <c r="AA221" i="1" s="1"/>
  <c r="R31" i="7"/>
  <c r="AB221" i="1"/>
  <c r="S31" i="7"/>
  <c r="T31" i="7"/>
  <c r="U31" i="7"/>
  <c r="AE221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N9" i="7"/>
  <c r="X199" i="1" s="1"/>
  <c r="O9" i="7"/>
  <c r="Y199" i="1"/>
  <c r="P9" i="7"/>
  <c r="Z199" i="1" s="1"/>
  <c r="Q9" i="7"/>
  <c r="AA199" i="1"/>
  <c r="R9" i="7"/>
  <c r="AB199" i="1" s="1"/>
  <c r="S9" i="7"/>
  <c r="AC199" i="1"/>
  <c r="T9" i="7"/>
  <c r="AD199" i="1" s="1"/>
  <c r="U9" i="7"/>
  <c r="AE199" i="1"/>
  <c r="AF199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N10" i="7"/>
  <c r="X200" i="1"/>
  <c r="O10" i="7"/>
  <c r="Y200" i="1" s="1"/>
  <c r="P10" i="7"/>
  <c r="Z200" i="1"/>
  <c r="Q10" i="7"/>
  <c r="AA200" i="1" s="1"/>
  <c r="R10" i="7"/>
  <c r="AB200" i="1"/>
  <c r="S10" i="7"/>
  <c r="AC200" i="1" s="1"/>
  <c r="T10" i="7"/>
  <c r="AD200" i="1"/>
  <c r="U10" i="7"/>
  <c r="AE200" i="1" s="1"/>
  <c r="AF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N11" i="7"/>
  <c r="X201" i="1"/>
  <c r="O11" i="7"/>
  <c r="Y201" i="1" s="1"/>
  <c r="P11" i="7"/>
  <c r="Z201" i="1"/>
  <c r="Q11" i="7"/>
  <c r="AA201" i="1" s="1"/>
  <c r="R11" i="7"/>
  <c r="AB201" i="1"/>
  <c r="S11" i="7"/>
  <c r="AC201" i="1" s="1"/>
  <c r="T11" i="7"/>
  <c r="AD201" i="1"/>
  <c r="U11" i="7"/>
  <c r="AE201" i="1" s="1"/>
  <c r="AF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N12" i="7"/>
  <c r="X202" i="1" s="1"/>
  <c r="O12" i="7"/>
  <c r="Y202" i="1"/>
  <c r="P12" i="7"/>
  <c r="Z202" i="1" s="1"/>
  <c r="Q12" i="7"/>
  <c r="AA202" i="1"/>
  <c r="R12" i="7"/>
  <c r="AB202" i="1" s="1"/>
  <c r="S12" i="7"/>
  <c r="AC202" i="1"/>
  <c r="T12" i="7"/>
  <c r="AD202" i="1" s="1"/>
  <c r="U12" i="7"/>
  <c r="AE202" i="1"/>
  <c r="AF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N13" i="7"/>
  <c r="X203" i="1" s="1"/>
  <c r="O13" i="7"/>
  <c r="Y203" i="1"/>
  <c r="P13" i="7"/>
  <c r="Z203" i="1" s="1"/>
  <c r="Q13" i="7"/>
  <c r="AA203" i="1"/>
  <c r="R13" i="7"/>
  <c r="AB203" i="1" s="1"/>
  <c r="S13" i="7"/>
  <c r="AC203" i="1"/>
  <c r="T13" i="7"/>
  <c r="AD203" i="1" s="1"/>
  <c r="U13" i="7"/>
  <c r="AE203" i="1"/>
  <c r="AF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N14" i="7"/>
  <c r="X204" i="1"/>
  <c r="O14" i="7"/>
  <c r="Y204" i="1" s="1"/>
  <c r="P14" i="7"/>
  <c r="Z204" i="1"/>
  <c r="Q14" i="7"/>
  <c r="AA204" i="1" s="1"/>
  <c r="R14" i="7"/>
  <c r="AB204" i="1"/>
  <c r="S14" i="7"/>
  <c r="AC204" i="1" s="1"/>
  <c r="T14" i="7"/>
  <c r="AD204" i="1"/>
  <c r="U14" i="7"/>
  <c r="AE204" i="1" s="1"/>
  <c r="AF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N15" i="7"/>
  <c r="X205" i="1"/>
  <c r="O15" i="7"/>
  <c r="Y205" i="1" s="1"/>
  <c r="P15" i="7"/>
  <c r="Z205" i="1"/>
  <c r="Q15" i="7"/>
  <c r="AA205" i="1" s="1"/>
  <c r="R15" i="7"/>
  <c r="AB205" i="1"/>
  <c r="S15" i="7"/>
  <c r="AC205" i="1" s="1"/>
  <c r="T15" i="7"/>
  <c r="AD205" i="1"/>
  <c r="U15" i="7"/>
  <c r="AE205" i="1" s="1"/>
  <c r="AF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N16" i="7"/>
  <c r="X206" i="1" s="1"/>
  <c r="O16" i="7"/>
  <c r="Y206" i="1"/>
  <c r="P16" i="7"/>
  <c r="Z206" i="1" s="1"/>
  <c r="Q16" i="7"/>
  <c r="AA206" i="1"/>
  <c r="R16" i="7"/>
  <c r="AB206" i="1" s="1"/>
  <c r="S16" i="7"/>
  <c r="AC206" i="1"/>
  <c r="T16" i="7"/>
  <c r="AD206" i="1" s="1"/>
  <c r="U16" i="7"/>
  <c r="AE206" i="1"/>
  <c r="AF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N17" i="7"/>
  <c r="X207" i="1" s="1"/>
  <c r="O17" i="7"/>
  <c r="Y207" i="1"/>
  <c r="P17" i="7"/>
  <c r="Z207" i="1" s="1"/>
  <c r="Q17" i="7"/>
  <c r="AA207" i="1"/>
  <c r="R17" i="7"/>
  <c r="AB207" i="1" s="1"/>
  <c r="S17" i="7"/>
  <c r="AC207" i="1"/>
  <c r="T17" i="7"/>
  <c r="AD207" i="1" s="1"/>
  <c r="U17" i="7"/>
  <c r="AE207" i="1"/>
  <c r="AF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N18" i="7"/>
  <c r="X208" i="1"/>
  <c r="O18" i="7"/>
  <c r="Y208" i="1" s="1"/>
  <c r="P18" i="7"/>
  <c r="Z208" i="1"/>
  <c r="Q18" i="7"/>
  <c r="AA208" i="1" s="1"/>
  <c r="R18" i="7"/>
  <c r="AB208" i="1"/>
  <c r="S18" i="7"/>
  <c r="AC208" i="1" s="1"/>
  <c r="T18" i="7"/>
  <c r="AD208" i="1"/>
  <c r="U18" i="7"/>
  <c r="AE208" i="1" s="1"/>
  <c r="AF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N19" i="7"/>
  <c r="X209" i="1"/>
  <c r="O19" i="7"/>
  <c r="Y209" i="1" s="1"/>
  <c r="P19" i="7"/>
  <c r="Z209" i="1"/>
  <c r="Q19" i="7"/>
  <c r="AA209" i="1" s="1"/>
  <c r="R19" i="7"/>
  <c r="AB209" i="1"/>
  <c r="S19" i="7"/>
  <c r="AC209" i="1" s="1"/>
  <c r="T19" i="7"/>
  <c r="AD209" i="1"/>
  <c r="U19" i="7"/>
  <c r="AE209" i="1" s="1"/>
  <c r="AF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N20" i="7"/>
  <c r="X210" i="1" s="1"/>
  <c r="O20" i="7"/>
  <c r="Y210" i="1"/>
  <c r="P20" i="7"/>
  <c r="Z210" i="1" s="1"/>
  <c r="Q20" i="7"/>
  <c r="AA210" i="1"/>
  <c r="R20" i="7"/>
  <c r="AB210" i="1" s="1"/>
  <c r="S20" i="7"/>
  <c r="AC210" i="1"/>
  <c r="T20" i="7"/>
  <c r="AD210" i="1" s="1"/>
  <c r="U20" i="7"/>
  <c r="AE210" i="1"/>
  <c r="AF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N21" i="7"/>
  <c r="X211" i="1" s="1"/>
  <c r="O21" i="7"/>
  <c r="Y211" i="1"/>
  <c r="P21" i="7"/>
  <c r="Z211" i="1" s="1"/>
  <c r="Q21" i="7"/>
  <c r="AA211" i="1"/>
  <c r="R21" i="7"/>
  <c r="AB211" i="1" s="1"/>
  <c r="S21" i="7"/>
  <c r="AC211" i="1"/>
  <c r="T21" i="7"/>
  <c r="AD211" i="1" s="1"/>
  <c r="U21" i="7"/>
  <c r="AE211" i="1"/>
  <c r="AF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N22" i="7"/>
  <c r="X212" i="1"/>
  <c r="O22" i="7"/>
  <c r="Y212" i="1" s="1"/>
  <c r="P22" i="7"/>
  <c r="Z212" i="1"/>
  <c r="Q22" i="7"/>
  <c r="AA212" i="1" s="1"/>
  <c r="R22" i="7"/>
  <c r="AB212" i="1"/>
  <c r="S22" i="7"/>
  <c r="AC212" i="1" s="1"/>
  <c r="T22" i="7"/>
  <c r="AD212" i="1"/>
  <c r="U22" i="7"/>
  <c r="AE212" i="1" s="1"/>
  <c r="AF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N23" i="7"/>
  <c r="X213" i="1"/>
  <c r="O23" i="7"/>
  <c r="Y213" i="1" s="1"/>
  <c r="P23" i="7"/>
  <c r="Z213" i="1"/>
  <c r="Q23" i="7"/>
  <c r="AA213" i="1" s="1"/>
  <c r="R23" i="7"/>
  <c r="AB213" i="1"/>
  <c r="S23" i="7"/>
  <c r="AC213" i="1" s="1"/>
  <c r="T23" i="7"/>
  <c r="AD213" i="1"/>
  <c r="U23" i="7"/>
  <c r="AE213" i="1" s="1"/>
  <c r="AF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N24" i="7"/>
  <c r="X214" i="1" s="1"/>
  <c r="O24" i="7"/>
  <c r="Y214" i="1"/>
  <c r="P24" i="7"/>
  <c r="Z214" i="1" s="1"/>
  <c r="Q24" i="7"/>
  <c r="AA214" i="1"/>
  <c r="R24" i="7"/>
  <c r="AB214" i="1" s="1"/>
  <c r="S24" i="7"/>
  <c r="AC214" i="1"/>
  <c r="T24" i="7"/>
  <c r="AD214" i="1" s="1"/>
  <c r="U24" i="7"/>
  <c r="AE214" i="1"/>
  <c r="AF214" i="1"/>
  <c r="D215" i="1"/>
  <c r="E215" i="1"/>
  <c r="F215" i="1"/>
  <c r="G215" i="1"/>
  <c r="I13" i="1" s="1"/>
  <c r="K13" i="1" s="1"/>
  <c r="H215" i="1"/>
  <c r="I215" i="1"/>
  <c r="J215" i="1"/>
  <c r="K215" i="1"/>
  <c r="I17" i="1" s="1"/>
  <c r="L215" i="1"/>
  <c r="M215" i="1"/>
  <c r="N215" i="1"/>
  <c r="O215" i="1"/>
  <c r="P215" i="1"/>
  <c r="Q215" i="1"/>
  <c r="R215" i="1"/>
  <c r="S215" i="1"/>
  <c r="T215" i="1"/>
  <c r="U215" i="1"/>
  <c r="V215" i="1"/>
  <c r="W215" i="1"/>
  <c r="E27" i="1" s="1"/>
  <c r="N25" i="7"/>
  <c r="X215" i="1" s="1"/>
  <c r="P47" i="1" s="1"/>
  <c r="O25" i="7"/>
  <c r="Y215" i="1"/>
  <c r="P50" i="1" s="1"/>
  <c r="P25" i="7"/>
  <c r="Z215" i="1" s="1"/>
  <c r="P54" i="1" s="1"/>
  <c r="Q25" i="7"/>
  <c r="AA215" i="1"/>
  <c r="P56" i="1" s="1"/>
  <c r="R25" i="7"/>
  <c r="AB215" i="1" s="1"/>
  <c r="S25" i="7"/>
  <c r="AC215" i="1"/>
  <c r="P63" i="1" s="1"/>
  <c r="T25" i="7"/>
  <c r="AD215" i="1" s="1"/>
  <c r="P67" i="1" s="1"/>
  <c r="U25" i="7"/>
  <c r="AE215" i="1"/>
  <c r="P72" i="1" s="1"/>
  <c r="AF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N26" i="7"/>
  <c r="X216" i="1"/>
  <c r="O26" i="7"/>
  <c r="Y216" i="1" s="1"/>
  <c r="P26" i="7"/>
  <c r="Z216" i="1"/>
  <c r="Q26" i="7"/>
  <c r="AA216" i="1" s="1"/>
  <c r="R26" i="7"/>
  <c r="AB216" i="1"/>
  <c r="S26" i="7"/>
  <c r="AC216" i="1" s="1"/>
  <c r="T26" i="7"/>
  <c r="AD216" i="1"/>
  <c r="U26" i="7"/>
  <c r="AE216" i="1" s="1"/>
  <c r="AF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N27" i="7"/>
  <c r="X217" i="1"/>
  <c r="O27" i="7"/>
  <c r="Y217" i="1" s="1"/>
  <c r="P27" i="7"/>
  <c r="Z217" i="1"/>
  <c r="Q27" i="7"/>
  <c r="AA217" i="1" s="1"/>
  <c r="R27" i="7"/>
  <c r="AB217" i="1"/>
  <c r="S27" i="7"/>
  <c r="AC217" i="1" s="1"/>
  <c r="T27" i="7"/>
  <c r="AD217" i="1"/>
  <c r="U27" i="7"/>
  <c r="AE217" i="1" s="1"/>
  <c r="AF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N28" i="7"/>
  <c r="X218" i="1" s="1"/>
  <c r="O28" i="7"/>
  <c r="Y218" i="1"/>
  <c r="P28" i="7"/>
  <c r="Z218" i="1" s="1"/>
  <c r="Q28" i="7"/>
  <c r="AA218" i="1"/>
  <c r="R28" i="7"/>
  <c r="AB218" i="1" s="1"/>
  <c r="S28" i="7"/>
  <c r="AC218" i="1"/>
  <c r="T28" i="7"/>
  <c r="AD218" i="1" s="1"/>
  <c r="U28" i="7"/>
  <c r="AE218" i="1"/>
  <c r="AF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N29" i="7"/>
  <c r="X219" i="1" s="1"/>
  <c r="O29" i="7"/>
  <c r="Y219" i="1"/>
  <c r="P29" i="7"/>
  <c r="Z219" i="1" s="1"/>
  <c r="Q29" i="7"/>
  <c r="AA219" i="1"/>
  <c r="R29" i="7"/>
  <c r="AB219" i="1" s="1"/>
  <c r="S29" i="7"/>
  <c r="AC219" i="1"/>
  <c r="T29" i="7"/>
  <c r="AD219" i="1" s="1"/>
  <c r="U29" i="7"/>
  <c r="AE219" i="1"/>
  <c r="AF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O30" i="7"/>
  <c r="Y220" i="1"/>
  <c r="P30" i="7"/>
  <c r="Z220" i="1" s="1"/>
  <c r="Q30" i="7"/>
  <c r="AA220" i="1"/>
  <c r="R30" i="7"/>
  <c r="AB220" i="1" s="1"/>
  <c r="S30" i="7"/>
  <c r="AC220" i="1"/>
  <c r="T30" i="7"/>
  <c r="AD220" i="1" s="1"/>
  <c r="U30" i="7"/>
  <c r="AE220" i="1"/>
  <c r="AF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Y221" i="1"/>
  <c r="AC221" i="1"/>
  <c r="AD221" i="1"/>
  <c r="AF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P32" i="7"/>
  <c r="Z222" i="1"/>
  <c r="Q32" i="7"/>
  <c r="AA222" i="1" s="1"/>
  <c r="R32" i="7"/>
  <c r="AB222" i="1"/>
  <c r="S32" i="7"/>
  <c r="AC222" i="1" s="1"/>
  <c r="T32" i="7"/>
  <c r="AD222" i="1"/>
  <c r="U32" i="7"/>
  <c r="AE222" i="1" s="1"/>
  <c r="AF222" i="1"/>
  <c r="AF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L31" i="7"/>
  <c r="L32" i="7"/>
  <c r="R26" i="4"/>
  <c r="S26" i="4"/>
  <c r="T26" i="4"/>
  <c r="U26" i="4"/>
  <c r="R27" i="4"/>
  <c r="S27" i="4"/>
  <c r="T27" i="4"/>
  <c r="U27" i="4"/>
  <c r="R28" i="4"/>
  <c r="S28" i="4"/>
  <c r="T28" i="4"/>
  <c r="U28" i="4"/>
  <c r="R29" i="4"/>
  <c r="S29" i="4"/>
  <c r="T29" i="4"/>
  <c r="U29" i="4"/>
  <c r="R30" i="4"/>
  <c r="S30" i="4"/>
  <c r="T30" i="4"/>
  <c r="U30" i="4"/>
  <c r="R31" i="4"/>
  <c r="S31" i="4"/>
  <c r="T31" i="4"/>
  <c r="R32" i="4"/>
  <c r="S32" i="4"/>
  <c r="T32" i="4"/>
  <c r="N30" i="7"/>
  <c r="X220" i="1" s="1"/>
  <c r="N32" i="7"/>
  <c r="X222" i="1" s="1"/>
  <c r="O32" i="7"/>
  <c r="Y222" i="1" s="1"/>
  <c r="O8" i="7"/>
  <c r="P8" i="7"/>
  <c r="Q8" i="7"/>
  <c r="AA198" i="1" s="1"/>
  <c r="R8" i="7"/>
  <c r="S8" i="7"/>
  <c r="T8" i="7"/>
  <c r="U8" i="7"/>
  <c r="N8" i="7"/>
  <c r="T3" i="4"/>
  <c r="R78" i="4"/>
  <c r="R72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D66" i="4"/>
  <c r="D64" i="4"/>
  <c r="D65" i="4"/>
  <c r="R9" i="4"/>
  <c r="S9" i="4"/>
  <c r="R10" i="4"/>
  <c r="S10" i="4"/>
  <c r="R11" i="4"/>
  <c r="S11" i="4"/>
  <c r="R12" i="4"/>
  <c r="S12" i="4"/>
  <c r="R13" i="4"/>
  <c r="S13" i="4"/>
  <c r="R14" i="4"/>
  <c r="S14" i="4"/>
  <c r="R15" i="4"/>
  <c r="S15" i="4"/>
  <c r="R16" i="4"/>
  <c r="S16" i="4"/>
  <c r="R17" i="4"/>
  <c r="S17" i="4"/>
  <c r="R18" i="4"/>
  <c r="S18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S8" i="4"/>
  <c r="R8" i="4"/>
  <c r="U25" i="4"/>
  <c r="T23" i="4"/>
  <c r="T21" i="4"/>
  <c r="T19" i="4"/>
  <c r="T17" i="4"/>
  <c r="T14" i="4"/>
  <c r="T15" i="4"/>
  <c r="T13" i="4"/>
  <c r="T25" i="4"/>
  <c r="T24" i="4"/>
  <c r="T20" i="4"/>
  <c r="T16" i="4"/>
  <c r="T12" i="4"/>
  <c r="T22" i="4"/>
  <c r="T18" i="4"/>
  <c r="T10" i="4"/>
  <c r="T9" i="4"/>
  <c r="T8" i="4"/>
  <c r="T11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8" i="7"/>
  <c r="R198" i="1"/>
  <c r="S198" i="1"/>
  <c r="Q198" i="1"/>
  <c r="W198" i="1"/>
  <c r="V198" i="1"/>
  <c r="U198" i="1"/>
  <c r="T198" i="1"/>
  <c r="A31" i="1"/>
  <c r="E50" i="4"/>
  <c r="W101" i="1"/>
  <c r="F23" i="1" s="1"/>
  <c r="E49" i="4"/>
  <c r="W100" i="1" s="1"/>
  <c r="F22" i="1" s="1"/>
  <c r="E48" i="4"/>
  <c r="W99" i="1" s="1"/>
  <c r="F21" i="1" s="1"/>
  <c r="E47" i="4"/>
  <c r="W98" i="1" s="1"/>
  <c r="F20" i="1" s="1"/>
  <c r="E46" i="4"/>
  <c r="W97" i="1" s="1"/>
  <c r="F19" i="1" s="1"/>
  <c r="E45" i="4"/>
  <c r="W96" i="1" s="1"/>
  <c r="F18" i="1" s="1"/>
  <c r="E44" i="4"/>
  <c r="W95" i="1" s="1"/>
  <c r="F17" i="1" s="1"/>
  <c r="E43" i="4"/>
  <c r="W94" i="1" s="1"/>
  <c r="F16" i="1" s="1"/>
  <c r="E42" i="4"/>
  <c r="W93" i="1" s="1"/>
  <c r="F15" i="1" s="1"/>
  <c r="E41" i="4"/>
  <c r="W92" i="1" s="1"/>
  <c r="F14" i="1" s="1"/>
  <c r="E40" i="4"/>
  <c r="W91" i="1" s="1"/>
  <c r="F13" i="1" s="1"/>
  <c r="E39" i="4"/>
  <c r="W90" i="1" s="1"/>
  <c r="F12" i="1" s="1"/>
  <c r="E38" i="4"/>
  <c r="W89" i="1" s="1"/>
  <c r="F11" i="1" s="1"/>
  <c r="E37" i="4"/>
  <c r="D37" i="4"/>
  <c r="V88" i="1" s="1"/>
  <c r="D38" i="4"/>
  <c r="V89" i="1"/>
  <c r="D39" i="4"/>
  <c r="V90" i="1"/>
  <c r="D40" i="4"/>
  <c r="V91" i="1"/>
  <c r="D41" i="4"/>
  <c r="V92" i="1"/>
  <c r="D42" i="4"/>
  <c r="V93" i="1"/>
  <c r="D43" i="4"/>
  <c r="V94" i="1"/>
  <c r="D44" i="4"/>
  <c r="V95" i="1"/>
  <c r="D45" i="4"/>
  <c r="V96" i="1"/>
  <c r="D46" i="4"/>
  <c r="V97" i="1"/>
  <c r="D47" i="4"/>
  <c r="V98" i="1"/>
  <c r="D48" i="4"/>
  <c r="V99" i="1"/>
  <c r="D49" i="4"/>
  <c r="V100" i="1"/>
  <c r="D50" i="4"/>
  <c r="V101" i="1"/>
  <c r="W88" i="1"/>
  <c r="F10" i="1"/>
  <c r="P43" i="1"/>
  <c r="P42" i="1"/>
  <c r="P41" i="1"/>
  <c r="P5" i="1"/>
  <c r="P4" i="1"/>
  <c r="P3" i="1"/>
  <c r="I23" i="1"/>
  <c r="O23" i="1" s="1"/>
  <c r="X198" i="1"/>
  <c r="A78" i="1"/>
  <c r="I22" i="1"/>
  <c r="K22" i="1" s="1"/>
  <c r="AB198" i="1"/>
  <c r="AD198" i="1"/>
  <c r="Z198" i="1"/>
  <c r="AC198" i="1"/>
  <c r="Y198" i="1"/>
  <c r="AE198" i="1"/>
  <c r="B26" i="1"/>
  <c r="J29" i="1"/>
  <c r="I14" i="1"/>
  <c r="K14" i="1" s="1"/>
  <c r="I18" i="1"/>
  <c r="I15" i="1"/>
  <c r="I19" i="1"/>
  <c r="K19" i="1" s="1"/>
  <c r="I12" i="1"/>
  <c r="I11" i="1"/>
  <c r="D198" i="1"/>
  <c r="C4" i="8"/>
  <c r="C4" i="7"/>
  <c r="C3" i="4"/>
  <c r="B60" i="4" s="1"/>
  <c r="D192" i="1"/>
  <c r="D191" i="1"/>
  <c r="I79" i="1" s="1"/>
  <c r="D190" i="1"/>
  <c r="I32" i="1"/>
  <c r="C60" i="4"/>
  <c r="C31" i="4" s="1"/>
  <c r="B221" i="1" s="1"/>
  <c r="B61" i="4"/>
  <c r="B51" i="4"/>
  <c r="B47" i="4"/>
  <c r="C59" i="4"/>
  <c r="C30" i="4" s="1"/>
  <c r="B30" i="4" s="1"/>
  <c r="C55" i="4"/>
  <c r="C26" i="4" s="1"/>
  <c r="C26" i="8" s="1"/>
  <c r="C43" i="4"/>
  <c r="C14" i="4" s="1"/>
  <c r="C14" i="7" s="1"/>
  <c r="C39" i="4"/>
  <c r="C10" i="4" s="1"/>
  <c r="B50" i="4"/>
  <c r="B46" i="4"/>
  <c r="C58" i="4"/>
  <c r="C29" i="4" s="1"/>
  <c r="B29" i="4" s="1"/>
  <c r="C54" i="4"/>
  <c r="C25" i="4" s="1"/>
  <c r="C42" i="4"/>
  <c r="C13" i="4" s="1"/>
  <c r="C13" i="8" s="1"/>
  <c r="C38" i="4"/>
  <c r="C9" i="4" s="1"/>
  <c r="B49" i="4"/>
  <c r="B45" i="4"/>
  <c r="C57" i="4"/>
  <c r="C28" i="4" s="1"/>
  <c r="B48" i="4"/>
  <c r="C40" i="4"/>
  <c r="C11" i="4" s="1"/>
  <c r="C11" i="7" s="1"/>
  <c r="B44" i="4"/>
  <c r="C37" i="4"/>
  <c r="C8" i="4" s="1"/>
  <c r="C52" i="4"/>
  <c r="C23" i="4" s="1"/>
  <c r="C23" i="7" s="1"/>
  <c r="C44" i="4"/>
  <c r="C15" i="4" s="1"/>
  <c r="B205" i="1" s="1"/>
  <c r="C41" i="4"/>
  <c r="C12" i="4" s="1"/>
  <c r="C12" i="8" s="1"/>
  <c r="C35" i="4"/>
  <c r="A40" i="4" s="1"/>
  <c r="P60" i="1"/>
  <c r="F29" i="1"/>
  <c r="I10" i="1"/>
  <c r="I21" i="1"/>
  <c r="K21" i="1" s="1"/>
  <c r="I20" i="1"/>
  <c r="K20" i="1" s="1"/>
  <c r="I16" i="1"/>
  <c r="K16" i="1" s="1"/>
  <c r="E26" i="1"/>
  <c r="Q29" i="1"/>
  <c r="B27" i="1"/>
  <c r="K18" i="1"/>
  <c r="K23" i="1"/>
  <c r="K11" i="1"/>
  <c r="A52" i="4"/>
  <c r="A49" i="4"/>
  <c r="A38" i="4"/>
  <c r="A54" i="4"/>
  <c r="A39" i="4"/>
  <c r="A10" i="4" s="1"/>
  <c r="A10" i="8" s="1"/>
  <c r="A47" i="4"/>
  <c r="C23" i="8"/>
  <c r="U31" i="4"/>
  <c r="U23" i="4"/>
  <c r="U19" i="4"/>
  <c r="U13" i="4"/>
  <c r="U14" i="4"/>
  <c r="U17" i="4"/>
  <c r="U10" i="4"/>
  <c r="U15" i="4"/>
  <c r="U24" i="4"/>
  <c r="U16" i="4"/>
  <c r="U18" i="4"/>
  <c r="U12" i="4"/>
  <c r="U22" i="4"/>
  <c r="U32" i="4"/>
  <c r="U21" i="4"/>
  <c r="U11" i="4"/>
  <c r="U9" i="4"/>
  <c r="U20" i="4"/>
  <c r="U8" i="4"/>
  <c r="A50" i="4" l="1"/>
  <c r="A43" i="4"/>
  <c r="A14" i="4" s="1"/>
  <c r="A14" i="8" s="1"/>
  <c r="A29" i="4"/>
  <c r="AH29" i="4" s="1"/>
  <c r="A46" i="4"/>
  <c r="A57" i="4"/>
  <c r="A41" i="4"/>
  <c r="A44" i="4"/>
  <c r="A15" i="4" s="1"/>
  <c r="A15" i="8" s="1"/>
  <c r="C49" i="4"/>
  <c r="C20" i="4" s="1"/>
  <c r="C20" i="7" s="1"/>
  <c r="B40" i="4"/>
  <c r="C45" i="4"/>
  <c r="C16" i="4" s="1"/>
  <c r="C16" i="8" s="1"/>
  <c r="C48" i="4"/>
  <c r="C19" i="4" s="1"/>
  <c r="B209" i="1" s="1"/>
  <c r="B37" i="4"/>
  <c r="B8" i="4" s="1"/>
  <c r="B53" i="4"/>
  <c r="C46" i="4"/>
  <c r="C17" i="4" s="1"/>
  <c r="B207" i="1" s="1"/>
  <c r="B38" i="4"/>
  <c r="B9" i="4" s="1"/>
  <c r="B9" i="7" s="1"/>
  <c r="B54" i="4"/>
  <c r="B25" i="4" s="1"/>
  <c r="C47" i="4"/>
  <c r="C18" i="4" s="1"/>
  <c r="B208" i="1" s="1"/>
  <c r="B39" i="4"/>
  <c r="B55" i="4"/>
  <c r="C61" i="4"/>
  <c r="C32" i="4" s="1"/>
  <c r="B32" i="4" s="1"/>
  <c r="B32" i="7" s="1"/>
  <c r="A59" i="4"/>
  <c r="A51" i="4"/>
  <c r="A37" i="4"/>
  <c r="A45" i="4"/>
  <c r="A48" i="4"/>
  <c r="A55" i="4"/>
  <c r="A58" i="4"/>
  <c r="A42" i="4"/>
  <c r="A13" i="4" s="1"/>
  <c r="A53" i="4"/>
  <c r="A56" i="4"/>
  <c r="B52" i="4"/>
  <c r="B56" i="4"/>
  <c r="C53" i="4"/>
  <c r="C24" i="4" s="1"/>
  <c r="C56" i="4"/>
  <c r="C27" i="4" s="1"/>
  <c r="B41" i="4"/>
  <c r="B57" i="4"/>
  <c r="B28" i="4" s="1"/>
  <c r="C50" i="4"/>
  <c r="C21" i="4" s="1"/>
  <c r="C21" i="8" s="1"/>
  <c r="B42" i="4"/>
  <c r="B58" i="4"/>
  <c r="C51" i="4"/>
  <c r="C22" i="4" s="1"/>
  <c r="C22" i="8" s="1"/>
  <c r="B43" i="4"/>
  <c r="B59" i="4"/>
  <c r="C13" i="7"/>
  <c r="AE29" i="4"/>
  <c r="C20" i="8"/>
  <c r="X29" i="4"/>
  <c r="B204" i="1"/>
  <c r="B211" i="1"/>
  <c r="AD29" i="4"/>
  <c r="C18" i="7"/>
  <c r="A18" i="4"/>
  <c r="A18" i="7" s="1"/>
  <c r="A23" i="4"/>
  <c r="A23" i="8" s="1"/>
  <c r="B15" i="4"/>
  <c r="B15" i="8" s="1"/>
  <c r="B31" i="4"/>
  <c r="C221" i="1" s="1"/>
  <c r="B9" i="8"/>
  <c r="AA29" i="4"/>
  <c r="B17" i="4"/>
  <c r="B17" i="7" s="1"/>
  <c r="B29" i="7"/>
  <c r="B29" i="8"/>
  <c r="C219" i="1"/>
  <c r="C220" i="1"/>
  <c r="B30" i="8"/>
  <c r="B30" i="7"/>
  <c r="B214" i="1"/>
  <c r="C24" i="7"/>
  <c r="C21" i="7"/>
  <c r="C205" i="1"/>
  <c r="AJ29" i="4"/>
  <c r="W29" i="4"/>
  <c r="AG29" i="4"/>
  <c r="Z29" i="4"/>
  <c r="C29" i="8"/>
  <c r="B220" i="1"/>
  <c r="B21" i="4"/>
  <c r="A15" i="7"/>
  <c r="A29" i="7"/>
  <c r="Y29" i="4"/>
  <c r="AI29" i="4"/>
  <c r="AB29" i="4"/>
  <c r="A30" i="4"/>
  <c r="AC30" i="4" s="1"/>
  <c r="A21" i="4"/>
  <c r="AB21" i="4" s="1"/>
  <c r="A29" i="8"/>
  <c r="B15" i="7"/>
  <c r="AF29" i="4"/>
  <c r="AC29" i="4"/>
  <c r="X30" i="4"/>
  <c r="B31" i="7"/>
  <c r="W50" i="4"/>
  <c r="B201" i="1"/>
  <c r="C11" i="8"/>
  <c r="A11" i="4"/>
  <c r="Z11" i="4" s="1"/>
  <c r="C199" i="1"/>
  <c r="B32" i="8"/>
  <c r="B198" i="1"/>
  <c r="C8" i="8"/>
  <c r="A8" i="4"/>
  <c r="C8" i="7"/>
  <c r="B11" i="4"/>
  <c r="B218" i="1"/>
  <c r="C28" i="7"/>
  <c r="C9" i="8"/>
  <c r="B199" i="1"/>
  <c r="C9" i="7"/>
  <c r="A9" i="4"/>
  <c r="AJ9" i="4" s="1"/>
  <c r="B215" i="1"/>
  <c r="D5" i="1" s="1"/>
  <c r="D43" i="1" s="1"/>
  <c r="C25" i="7"/>
  <c r="C25" i="8"/>
  <c r="A25" i="4"/>
  <c r="W25" i="4" s="1"/>
  <c r="B200" i="1"/>
  <c r="C10" i="7"/>
  <c r="A19" i="4"/>
  <c r="A19" i="8" s="1"/>
  <c r="O11" i="1"/>
  <c r="A28" i="4"/>
  <c r="A28" i="8" s="1"/>
  <c r="B16" i="4"/>
  <c r="B16" i="8" s="1"/>
  <c r="O12" i="1"/>
  <c r="A26" i="4"/>
  <c r="A26" i="7" s="1"/>
  <c r="A24" i="4"/>
  <c r="AI24" i="4" s="1"/>
  <c r="Y14" i="4"/>
  <c r="AE14" i="4"/>
  <c r="AB14" i="4"/>
  <c r="W14" i="4"/>
  <c r="Z14" i="4"/>
  <c r="AF14" i="4"/>
  <c r="AI14" i="4"/>
  <c r="A14" i="7"/>
  <c r="Y10" i="4"/>
  <c r="AG10" i="4"/>
  <c r="AD10" i="4"/>
  <c r="Z10" i="4"/>
  <c r="AJ10" i="4"/>
  <c r="AF10" i="4"/>
  <c r="AB10" i="4"/>
  <c r="AC10" i="4"/>
  <c r="X10" i="4"/>
  <c r="AI10" i="4"/>
  <c r="AE10" i="4"/>
  <c r="AA10" i="4"/>
  <c r="W10" i="4"/>
  <c r="AH10" i="4"/>
  <c r="A10" i="7"/>
  <c r="X23" i="4"/>
  <c r="Z23" i="4"/>
  <c r="W23" i="4"/>
  <c r="AD23" i="4"/>
  <c r="AJ23" i="4"/>
  <c r="AG23" i="4"/>
  <c r="Y23" i="4"/>
  <c r="A23" i="7"/>
  <c r="X15" i="4"/>
  <c r="AF15" i="4"/>
  <c r="AC15" i="4"/>
  <c r="Y15" i="4"/>
  <c r="AI15" i="4"/>
  <c r="AE15" i="4"/>
  <c r="AG15" i="4"/>
  <c r="AB15" i="4"/>
  <c r="AJ15" i="4"/>
  <c r="AH15" i="4"/>
  <c r="AD15" i="4"/>
  <c r="Z15" i="4"/>
  <c r="AA15" i="4"/>
  <c r="W15" i="4"/>
  <c r="AD24" i="4"/>
  <c r="AJ19" i="4"/>
  <c r="Z19" i="4"/>
  <c r="AD19" i="4"/>
  <c r="AA19" i="4"/>
  <c r="O19" i="1"/>
  <c r="O13" i="1"/>
  <c r="O21" i="1"/>
  <c r="O15" i="1"/>
  <c r="A9" i="8"/>
  <c r="AH21" i="4"/>
  <c r="AJ25" i="4"/>
  <c r="AG25" i="4"/>
  <c r="AH25" i="4"/>
  <c r="AE9" i="4"/>
  <c r="AG9" i="4"/>
  <c r="AH9" i="4"/>
  <c r="AD26" i="4"/>
  <c r="AG19" i="4"/>
  <c r="AE19" i="4"/>
  <c r="AF19" i="4"/>
  <c r="O17" i="1"/>
  <c r="K17" i="1"/>
  <c r="O10" i="1"/>
  <c r="K10" i="1"/>
  <c r="C15" i="7"/>
  <c r="C15" i="8"/>
  <c r="B13" i="4"/>
  <c r="C203" i="1" s="1"/>
  <c r="B203" i="1"/>
  <c r="B219" i="1"/>
  <c r="C29" i="7"/>
  <c r="B14" i="4"/>
  <c r="C204" i="1" s="1"/>
  <c r="C14" i="8"/>
  <c r="C30" i="7"/>
  <c r="C30" i="8"/>
  <c r="A31" i="4"/>
  <c r="C31" i="8"/>
  <c r="C31" i="7"/>
  <c r="B12" i="4"/>
  <c r="B12" i="8" s="1"/>
  <c r="B202" i="1"/>
  <c r="C12" i="7"/>
  <c r="B23" i="4"/>
  <c r="B23" i="8" s="1"/>
  <c r="B213" i="1"/>
  <c r="C16" i="7"/>
  <c r="B24" i="4"/>
  <c r="C24" i="8"/>
  <c r="B19" i="4"/>
  <c r="C19" i="7"/>
  <c r="C19" i="8"/>
  <c r="C28" i="8"/>
  <c r="B10" i="4"/>
  <c r="B10" i="8" s="1"/>
  <c r="C10" i="8"/>
  <c r="B18" i="4"/>
  <c r="C18" i="8"/>
  <c r="B26" i="4"/>
  <c r="B26" i="7" s="1"/>
  <c r="B216" i="1"/>
  <c r="C26" i="7"/>
  <c r="C32" i="7"/>
  <c r="O16" i="1"/>
  <c r="O20" i="1"/>
  <c r="O14" i="1"/>
  <c r="O18" i="1"/>
  <c r="O22" i="1"/>
  <c r="C200" i="1"/>
  <c r="A12" i="4"/>
  <c r="K12" i="1"/>
  <c r="K15" i="1"/>
  <c r="B27" i="4" l="1"/>
  <c r="A17" i="4"/>
  <c r="A16" i="4"/>
  <c r="B206" i="1"/>
  <c r="AH26" i="4"/>
  <c r="AF9" i="4"/>
  <c r="AC9" i="4"/>
  <c r="AF25" i="4"/>
  <c r="AC25" i="4"/>
  <c r="X21" i="4"/>
  <c r="B16" i="7"/>
  <c r="AE26" i="4"/>
  <c r="AI23" i="4"/>
  <c r="AC23" i="4"/>
  <c r="AE23" i="4"/>
  <c r="AB23" i="4"/>
  <c r="AH23" i="4"/>
  <c r="AA23" i="4"/>
  <c r="AF23" i="4"/>
  <c r="X14" i="4"/>
  <c r="AH14" i="4"/>
  <c r="AJ14" i="4"/>
  <c r="AC14" i="4"/>
  <c r="AD14" i="4"/>
  <c r="AA14" i="4"/>
  <c r="AG14" i="4"/>
  <c r="C17" i="7"/>
  <c r="C17" i="8"/>
  <c r="B210" i="1"/>
  <c r="AH13" i="4"/>
  <c r="AB13" i="4"/>
  <c r="Z13" i="4"/>
  <c r="AJ13" i="4"/>
  <c r="W13" i="4"/>
  <c r="AD13" i="4"/>
  <c r="B25" i="8"/>
  <c r="B25" i="7"/>
  <c r="C215" i="1"/>
  <c r="D6" i="1" s="1"/>
  <c r="D44" i="1" s="1"/>
  <c r="Z16" i="4"/>
  <c r="AD16" i="4"/>
  <c r="AA16" i="4"/>
  <c r="W17" i="4"/>
  <c r="C22" i="7"/>
  <c r="AJ28" i="4"/>
  <c r="AE21" i="4"/>
  <c r="W21" i="4"/>
  <c r="AA24" i="4"/>
  <c r="AJ18" i="4"/>
  <c r="X17" i="4"/>
  <c r="A20" i="4"/>
  <c r="AE20" i="4" s="1"/>
  <c r="AH16" i="4"/>
  <c r="AJ16" i="4"/>
  <c r="AG17" i="4"/>
  <c r="B212" i="1"/>
  <c r="AA21" i="4"/>
  <c r="AI17" i="4"/>
  <c r="B20" i="4"/>
  <c r="A27" i="4"/>
  <c r="C27" i="8"/>
  <c r="B217" i="1"/>
  <c r="C27" i="7"/>
  <c r="A22" i="4"/>
  <c r="AE16" i="4"/>
  <c r="X16" i="4"/>
  <c r="AC16" i="4"/>
  <c r="C32" i="8"/>
  <c r="AH17" i="4"/>
  <c r="B22" i="4"/>
  <c r="Y17" i="4"/>
  <c r="W11" i="4"/>
  <c r="AG28" i="4"/>
  <c r="B27" i="7"/>
  <c r="C222" i="1"/>
  <c r="B222" i="1"/>
  <c r="A32" i="4"/>
  <c r="AE32" i="4" s="1"/>
  <c r="Z18" i="4"/>
  <c r="AB30" i="4"/>
  <c r="B12" i="7"/>
  <c r="X18" i="4"/>
  <c r="AF24" i="4"/>
  <c r="C207" i="1"/>
  <c r="AH30" i="4"/>
  <c r="A32" i="7"/>
  <c r="AI32" i="4"/>
  <c r="AC32" i="4"/>
  <c r="B13" i="8"/>
  <c r="C206" i="1"/>
  <c r="B14" i="7"/>
  <c r="W24" i="4"/>
  <c r="Y13" i="4"/>
  <c r="AC13" i="4"/>
  <c r="AI26" i="4"/>
  <c r="AH28" i="4"/>
  <c r="AJ30" i="4"/>
  <c r="B31" i="8"/>
  <c r="AF30" i="4"/>
  <c r="X32" i="4"/>
  <c r="AB32" i="4"/>
  <c r="A32" i="8"/>
  <c r="AJ32" i="4"/>
  <c r="B14" i="8"/>
  <c r="AG18" i="4"/>
  <c r="X26" i="4"/>
  <c r="AD18" i="4"/>
  <c r="B17" i="8"/>
  <c r="Z20" i="4"/>
  <c r="W20" i="4"/>
  <c r="A20" i="8"/>
  <c r="C213" i="1"/>
  <c r="C202" i="1"/>
  <c r="Y19" i="4"/>
  <c r="W19" i="4"/>
  <c r="AJ26" i="4"/>
  <c r="AF18" i="4"/>
  <c r="AE18" i="4"/>
  <c r="A19" i="7"/>
  <c r="AB19" i="4"/>
  <c r="X19" i="4"/>
  <c r="AI13" i="4"/>
  <c r="AA13" i="4"/>
  <c r="AG13" i="4"/>
  <c r="A26" i="8"/>
  <c r="W26" i="4"/>
  <c r="Y26" i="4"/>
  <c r="AB18" i="4"/>
  <c r="AA18" i="4"/>
  <c r="AI30" i="4"/>
  <c r="AE30" i="4"/>
  <c r="Z30" i="4"/>
  <c r="B20" i="7"/>
  <c r="C210" i="1"/>
  <c r="B20" i="8"/>
  <c r="B13" i="7"/>
  <c r="Z26" i="4"/>
  <c r="AI18" i="4"/>
  <c r="AC26" i="4"/>
  <c r="W18" i="4"/>
  <c r="B23" i="7"/>
  <c r="AI19" i="4"/>
  <c r="AG26" i="4"/>
  <c r="AB26" i="4"/>
  <c r="AH18" i="4"/>
  <c r="AH19" i="4"/>
  <c r="AC19" i="4"/>
  <c r="AF13" i="4"/>
  <c r="X13" i="4"/>
  <c r="AE13" i="4"/>
  <c r="AF26" i="4"/>
  <c r="AA26" i="4"/>
  <c r="A18" i="8"/>
  <c r="AC18" i="4"/>
  <c r="Y18" i="4"/>
  <c r="A30" i="7"/>
  <c r="W30" i="4"/>
  <c r="A30" i="8"/>
  <c r="Y30" i="4"/>
  <c r="AD30" i="4"/>
  <c r="AJ20" i="4"/>
  <c r="AA20" i="4"/>
  <c r="X20" i="4"/>
  <c r="C211" i="1"/>
  <c r="B21" i="7"/>
  <c r="B21" i="8"/>
  <c r="C216" i="1"/>
  <c r="B22" i="7"/>
  <c r="AF28" i="4"/>
  <c r="AH11" i="4"/>
  <c r="AJ24" i="4"/>
  <c r="AE24" i="4"/>
  <c r="AH24" i="4"/>
  <c r="Z28" i="4"/>
  <c r="AD28" i="4"/>
  <c r="AH20" i="4"/>
  <c r="AF20" i="4"/>
  <c r="A13" i="7"/>
  <c r="A13" i="8"/>
  <c r="B26" i="8"/>
  <c r="B10" i="7"/>
  <c r="AI28" i="4"/>
  <c r="X28" i="4"/>
  <c r="AF11" i="4"/>
  <c r="AD11" i="4"/>
  <c r="Y24" i="4"/>
  <c r="AB24" i="4"/>
  <c r="X24" i="4"/>
  <c r="W28" i="4"/>
  <c r="AE28" i="4"/>
  <c r="AI20" i="4"/>
  <c r="AB20" i="4"/>
  <c r="Y20" i="4"/>
  <c r="AA30" i="4"/>
  <c r="Y28" i="4"/>
  <c r="AB28" i="4"/>
  <c r="AA11" i="4"/>
  <c r="AG24" i="4"/>
  <c r="AC24" i="4"/>
  <c r="Z24" i="4"/>
  <c r="A28" i="7"/>
  <c r="AC28" i="4"/>
  <c r="AA28" i="4"/>
  <c r="AC20" i="4"/>
  <c r="AD20" i="4"/>
  <c r="A20" i="7"/>
  <c r="AG20" i="4"/>
  <c r="AG30" i="4"/>
  <c r="Z21" i="4"/>
  <c r="Y21" i="4"/>
  <c r="AC21" i="4"/>
  <c r="A21" i="7"/>
  <c r="AD21" i="4"/>
  <c r="A21" i="8"/>
  <c r="AJ21" i="4"/>
  <c r="AI21" i="4"/>
  <c r="AG21" i="4"/>
  <c r="AF21" i="4"/>
  <c r="Z25" i="4"/>
  <c r="AD25" i="4"/>
  <c r="AA25" i="4"/>
  <c r="Y25" i="4"/>
  <c r="AB25" i="4"/>
  <c r="AE25" i="4"/>
  <c r="X25" i="4"/>
  <c r="AI25" i="4"/>
  <c r="A25" i="7"/>
  <c r="A25" i="8"/>
  <c r="Z9" i="4"/>
  <c r="X9" i="4"/>
  <c r="AD9" i="4"/>
  <c r="AI9" i="4"/>
  <c r="AA9" i="4"/>
  <c r="W9" i="4"/>
  <c r="AB9" i="4"/>
  <c r="Y9" i="4"/>
  <c r="A9" i="7"/>
  <c r="C198" i="1"/>
  <c r="B8" i="7"/>
  <c r="B8" i="8"/>
  <c r="AF16" i="4"/>
  <c r="A24" i="8"/>
  <c r="A24" i="7"/>
  <c r="AI8" i="4"/>
  <c r="AH8" i="4"/>
  <c r="Z8" i="4"/>
  <c r="W8" i="4"/>
  <c r="Y8" i="4"/>
  <c r="AF8" i="4"/>
  <c r="AA8" i="4"/>
  <c r="X8" i="4"/>
  <c r="AD8" i="4"/>
  <c r="AB8" i="4"/>
  <c r="A8" i="8"/>
  <c r="AE8" i="4"/>
  <c r="A8" i="7"/>
  <c r="AC8" i="4"/>
  <c r="AJ8" i="4"/>
  <c r="AG8" i="4"/>
  <c r="X11" i="4"/>
  <c r="AC11" i="4"/>
  <c r="A11" i="8"/>
  <c r="AJ11" i="4"/>
  <c r="AE11" i="4"/>
  <c r="AG11" i="4"/>
  <c r="AB11" i="4"/>
  <c r="AI11" i="4"/>
  <c r="Y11" i="4"/>
  <c r="A11" i="7"/>
  <c r="B11" i="7"/>
  <c r="B11" i="8"/>
  <c r="C201" i="1"/>
  <c r="AB16" i="4"/>
  <c r="AI16" i="4"/>
  <c r="A16" i="8"/>
  <c r="Y16" i="4"/>
  <c r="AG16" i="4"/>
  <c r="C208" i="1"/>
  <c r="B18" i="8"/>
  <c r="B18" i="7"/>
  <c r="B28" i="8"/>
  <c r="C218" i="1"/>
  <c r="B28" i="7"/>
  <c r="C209" i="1"/>
  <c r="B19" i="8"/>
  <c r="B19" i="7"/>
  <c r="B24" i="7"/>
  <c r="C214" i="1"/>
  <c r="B24" i="8"/>
  <c r="W31" i="4"/>
  <c r="AH31" i="4"/>
  <c r="AF31" i="4"/>
  <c r="AD31" i="4"/>
  <c r="AB31" i="4"/>
  <c r="Z31" i="4"/>
  <c r="X31" i="4"/>
  <c r="AG31" i="4"/>
  <c r="A31" i="8"/>
  <c r="AI31" i="4"/>
  <c r="AE31" i="4"/>
  <c r="AA31" i="4"/>
  <c r="AC31" i="4"/>
  <c r="Y31" i="4"/>
  <c r="A31" i="7"/>
  <c r="AJ31" i="4"/>
  <c r="AE12" i="4"/>
  <c r="W12" i="4"/>
  <c r="AD12" i="4"/>
  <c r="Z12" i="4"/>
  <c r="AB12" i="4"/>
  <c r="AH12" i="4"/>
  <c r="AC12" i="4"/>
  <c r="A12" i="7"/>
  <c r="AA12" i="4"/>
  <c r="AI12" i="4"/>
  <c r="Y12" i="4"/>
  <c r="AJ12" i="4"/>
  <c r="AF12" i="4"/>
  <c r="AG12" i="4"/>
  <c r="X12" i="4"/>
  <c r="A12" i="8"/>
  <c r="A17" i="8" l="1"/>
  <c r="A17" i="7"/>
  <c r="AE17" i="4"/>
  <c r="AD17" i="4"/>
  <c r="AF17" i="4"/>
  <c r="Z17" i="4"/>
  <c r="W34" i="4"/>
  <c r="AJ17" i="4"/>
  <c r="AA17" i="4"/>
  <c r="AC17" i="4"/>
  <c r="AB17" i="4"/>
  <c r="W16" i="4"/>
  <c r="A16" i="7"/>
  <c r="C217" i="1"/>
  <c r="B27" i="8"/>
  <c r="A22" i="8"/>
  <c r="AC22" i="4"/>
  <c r="A22" i="7"/>
  <c r="Y22" i="4"/>
  <c r="AI22" i="4"/>
  <c r="AJ22" i="4"/>
  <c r="AD22" i="4"/>
  <c r="AA22" i="4"/>
  <c r="AG22" i="4"/>
  <c r="AE22" i="4"/>
  <c r="X22" i="4"/>
  <c r="AB22" i="4"/>
  <c r="Z22" i="4"/>
  <c r="AH22" i="4"/>
  <c r="AF22" i="4"/>
  <c r="W22" i="4"/>
  <c r="A27" i="8"/>
  <c r="Z27" i="4"/>
  <c r="X27" i="4"/>
  <c r="AB27" i="4"/>
  <c r="AB33" i="4" s="1"/>
  <c r="I68" i="4" s="1"/>
  <c r="I67" i="4" s="1"/>
  <c r="I69" i="4" s="1"/>
  <c r="AF27" i="4"/>
  <c r="AC27" i="4"/>
  <c r="AA27" i="4"/>
  <c r="AG27" i="4"/>
  <c r="W27" i="4"/>
  <c r="AJ27" i="4"/>
  <c r="AH27" i="4"/>
  <c r="Y27" i="4"/>
  <c r="AI27" i="4"/>
  <c r="A27" i="7"/>
  <c r="AD27" i="4"/>
  <c r="AE27" i="4"/>
  <c r="Y32" i="4"/>
  <c r="AF32" i="4"/>
  <c r="W32" i="4"/>
  <c r="AG32" i="4"/>
  <c r="AD32" i="4"/>
  <c r="Z32" i="4"/>
  <c r="AA32" i="4"/>
  <c r="AH32" i="4"/>
  <c r="B22" i="8"/>
  <c r="C212" i="1"/>
  <c r="AA33" i="4"/>
  <c r="H68" i="4" s="1"/>
  <c r="AD33" i="4"/>
  <c r="K68" i="4" s="1"/>
  <c r="K67" i="4" s="1"/>
  <c r="K69" i="4" s="1"/>
  <c r="H67" i="4"/>
  <c r="H69" i="4" s="1"/>
  <c r="Y33" i="4" l="1"/>
  <c r="F68" i="4" s="1"/>
  <c r="F67" i="4" s="1"/>
  <c r="F69" i="4" s="1"/>
  <c r="Z33" i="4"/>
  <c r="G68" i="4" s="1"/>
  <c r="G67" i="4" s="1"/>
  <c r="G69" i="4" s="1"/>
  <c r="X33" i="4"/>
  <c r="E68" i="4" s="1"/>
  <c r="E67" i="4" s="1"/>
  <c r="E69" i="4" s="1"/>
  <c r="AG33" i="4"/>
  <c r="N68" i="4" s="1"/>
  <c r="N67" i="4" s="1"/>
  <c r="N69" i="4" s="1"/>
  <c r="W33" i="4"/>
  <c r="D68" i="4" s="1"/>
  <c r="D67" i="4" s="1"/>
  <c r="D69" i="4" s="1"/>
  <c r="AI33" i="4"/>
  <c r="P68" i="4" s="1"/>
  <c r="P67" i="4" s="1"/>
  <c r="P69" i="4" s="1"/>
  <c r="AF33" i="4"/>
  <c r="M68" i="4" s="1"/>
  <c r="M67" i="4" s="1"/>
  <c r="M69" i="4" s="1"/>
  <c r="AH33" i="4"/>
  <c r="O68" i="4" s="1"/>
  <c r="O67" i="4" s="1"/>
  <c r="O69" i="4" s="1"/>
  <c r="AE33" i="4"/>
  <c r="L68" i="4" s="1"/>
  <c r="L67" i="4" s="1"/>
  <c r="L69" i="4" s="1"/>
  <c r="AJ33" i="4"/>
  <c r="Q68" i="4" s="1"/>
  <c r="Q67" i="4" s="1"/>
  <c r="Q69" i="4" s="1"/>
  <c r="AC33" i="4"/>
  <c r="J68" i="4" s="1"/>
  <c r="J67" i="4" s="1"/>
  <c r="J69" i="4" s="1"/>
</calcChain>
</file>

<file path=xl/comments1.xml><?xml version="1.0" encoding="utf-8"?>
<comments xmlns="http://schemas.openxmlformats.org/spreadsheetml/2006/main">
  <authors>
    <author>Andy Koeswandy</author>
  </authors>
  <commentList>
    <comment ref="D17" author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sharedStrings.xml><?xml version="1.0" encoding="utf-8"?>
<sst xmlns="http://schemas.openxmlformats.org/spreadsheetml/2006/main" count="465" uniqueCount="368">
  <si>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</si>
  <si>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</si>
  <si>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</si>
  <si>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</si>
  <si>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</si>
  <si>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</si>
  <si>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</si>
  <si>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</si>
  <si>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</si>
  <si>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</si>
  <si>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</si>
  <si>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</si>
  <si>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</si>
  <si>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</si>
  <si>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</si>
  <si>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</si>
  <si>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</si>
  <si>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</si>
  <si>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</si>
  <si>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</si>
  <si>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</si>
  <si>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</si>
  <si>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</si>
  <si>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</si>
  <si>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</si>
  <si>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</si>
  <si>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</si>
  <si>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</si>
  <si>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</si>
  <si>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</si>
  <si>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</si>
  <si>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</si>
  <si>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</si>
  <si>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</si>
  <si>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</si>
  <si>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</si>
  <si>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</si>
  <si>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</si>
  <si>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</si>
  <si>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</si>
  <si>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</si>
  <si>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</si>
  <si>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</si>
  <si>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</si>
  <si>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</si>
  <si>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</si>
  <si>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</si>
  <si>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</si>
  <si>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</si>
  <si>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</si>
  <si>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</si>
  <si>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</si>
  <si>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</si>
  <si>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</si>
  <si>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</si>
  <si>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Able to perform the item 1-3.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</si>
  <si>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</si>
  <si>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</si>
  <si>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</si>
  <si>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</si>
  <si>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</si>
  <si>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</si>
  <si>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</si>
  <si>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</si>
  <si>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</si>
  <si>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</si>
  <si>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</si>
  <si>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</si>
  <si>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</si>
  <si>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</si>
  <si>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</si>
  <si>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</si>
  <si>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</si>
  <si>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</si>
  <si>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</si>
  <si>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</si>
  <si>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</si>
  <si>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</si>
  <si>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</si>
  <si>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</si>
  <si>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</si>
  <si>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</si>
  <si>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</si>
  <si>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</si>
  <si>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</si>
  <si>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</si>
  <si>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</si>
  <si>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</si>
  <si>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</si>
  <si>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</si>
  <si>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</si>
  <si>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</si>
  <si>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</si>
  <si>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</si>
  <si>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</si>
  <si>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</si>
  <si>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</si>
  <si>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</si>
  <si>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</si>
  <si>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</si>
  <si>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</si>
  <si>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</si>
  <si>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</si>
  <si>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</si>
  <si>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</si>
  <si>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</si>
  <si>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</si>
  <si>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</si>
  <si>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</si>
  <si>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</si>
  <si>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</si>
  <si>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</si>
  <si>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</si>
  <si>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</si>
  <si>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</si>
  <si>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</si>
  <si>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</si>
  <si>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</si>
  <si>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</si>
  <si>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</si>
  <si>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</si>
  <si>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</si>
  <si>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</si>
  <si>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</si>
  <si>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</si>
  <si>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</si>
  <si>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</si>
  <si>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</si>
  <si>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</si>
  <si>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</si>
  <si>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</si>
  <si>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</si>
  <si>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</si>
  <si>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</si>
  <si>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</si>
  <si>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</si>
  <si>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</si>
  <si>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</si>
  <si>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</si>
  <si>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</si>
  <si>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</si>
  <si>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</si>
  <si>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</si>
  <si>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</si>
  <si>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</si>
  <si>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</si>
  <si>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</si>
  <si>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</si>
  <si>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</si>
  <si>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</si>
  <si>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</si>
  <si>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</si>
  <si>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</si>
  <si>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</si>
  <si>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</si>
  <si>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</si>
  <si>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</si>
  <si>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</si>
  <si>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</si>
  <si>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</si>
  <si>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</si>
  <si>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</si>
  <si>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</si>
  <si>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</si>
  <si>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</si>
  <si>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</si>
  <si>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</si>
  <si>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</si>
  <si>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</si>
  <si>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</si>
  <si>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</si>
  <si>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</si>
  <si>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</si>
  <si>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</si>
  <si>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</si>
  <si>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</si>
  <si>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</si>
  <si>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</si>
  <si>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</si>
  <si>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</si>
  <si>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</si>
  <si>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</si>
  <si>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</si>
  <si>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</si>
  <si>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</si>
  <si>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</si>
  <si>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</si>
  <si>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</si>
  <si>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</si>
  <si>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</si>
  <si>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</si>
  <si>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</si>
  <si>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</si>
  <si>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</si>
  <si>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</si>
  <si>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</si>
  <si>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</si>
  <si>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</si>
  <si>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</si>
  <si>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</si>
  <si>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</si>
  <si>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</si>
  <si>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</si>
  <si>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</si>
  <si>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</si>
  <si>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</si>
  <si>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</si>
  <si>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</si>
  <si>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</si>
  <si>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</si>
  <si>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</si>
  <si>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</si>
  <si>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</si>
  <si>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</si>
  <si>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</si>
  <si>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</si>
  <si>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</si>
  <si>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</si>
  <si>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</si>
  <si>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</si>
  <si>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</si>
  <si>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</si>
  <si>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</si>
  <si>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DATE</t>
  </si>
  <si>
    <t>13.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</si>
  <si>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</si>
  <si>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</si>
  <si>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</si>
  <si>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</si>
  <si>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</si>
  <si>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</si>
  <si>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</si>
  <si>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</si>
  <si>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</si>
  <si>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</si>
  <si>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</si>
  <si>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</si>
  <si>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</si>
  <si>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</si>
  <si>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</si>
  <si>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</si>
  <si>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</si>
  <si>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</si>
  <si>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</si>
  <si>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</si>
  <si>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</si>
  <si>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</si>
  <si>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</si>
  <si>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</si>
  <si>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MID-SEMESTER REPORT</t>
  </si>
  <si>
    <t>14.</t>
  </si>
  <si>
    <t>11 Science 1</t>
  </si>
  <si>
    <t>11 Science 2</t>
  </si>
  <si>
    <t>12 Science 1</t>
  </si>
  <si>
    <t>12 Science 2</t>
  </si>
  <si>
    <t xml:space="preserve">Bukit Sion High School Principal, </t>
  </si>
  <si>
    <t>History</t>
  </si>
  <si>
    <t>ICT</t>
  </si>
  <si>
    <t>Bukit Sion High School</t>
  </si>
  <si>
    <t>High School Principal,</t>
  </si>
  <si>
    <t>BUKIT SION HIGH SCHOOL</t>
  </si>
  <si>
    <t>MID-SEMESTER 1 REPORT ANALYSIS</t>
  </si>
  <si>
    <t>Agustinus Siahaan, S.Si.</t>
  </si>
  <si>
    <t xml:space="preserve">Homeroom Teacher, </t>
  </si>
  <si>
    <t xml:space="preserve">Jakarta, </t>
  </si>
  <si>
    <t>Writing</t>
  </si>
  <si>
    <t>English Writing</t>
  </si>
  <si>
    <t>Bring books and learning equipment accordingly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</si>
  <si>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</si>
  <si>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</si>
  <si>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</si>
  <si>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</si>
  <si>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</si>
  <si>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INDEPENDENCE</t>
  </si>
  <si>
    <t>Able to overcome learning difficulties</t>
  </si>
  <si>
    <t>Able to overcome personal problems</t>
  </si>
  <si>
    <t>Able to overcome the social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</si>
  <si>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</si>
  <si>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</si>
  <si>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</si>
  <si>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</si>
  <si>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</si>
  <si>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</si>
  <si>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</si>
  <si>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</si>
  <si>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</si>
  <si>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</si>
  <si>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Follow the all the school events</t>
  </si>
  <si>
    <t>Carry out tasks and homework with a full sense of responsibility</t>
  </si>
  <si>
    <t>2017-2018</t>
  </si>
  <si>
    <t>ALVIN SUNJAYA</t>
  </si>
  <si>
    <t>BELLA THALIA WINARDI</t>
  </si>
  <si>
    <t>ANDREW NATHANIEL</t>
  </si>
  <si>
    <t>BRIAN JONATHAN MAK</t>
  </si>
  <si>
    <t>AUDREY BEATRICIA</t>
  </si>
  <si>
    <t>CARLOS MARTIUS</t>
  </si>
  <si>
    <t>AURELIUS NATHAN WIRAWAN</t>
  </si>
  <si>
    <t>CLARENCE AURELIO PRIBADI</t>
  </si>
  <si>
    <t>BRYAN JUTANZAH</t>
  </si>
  <si>
    <t>DEFIN BRYAN ELIEZER</t>
  </si>
  <si>
    <t>CANISHA CHRYSTELLA</t>
  </si>
  <si>
    <t>FELICIA SUGIARTO</t>
  </si>
  <si>
    <t>DELPHI PRISKILLA ANNEKE</t>
  </si>
  <si>
    <t>GIOVANNI RICHARD H</t>
  </si>
  <si>
    <t>ELVIN PHILANDER</t>
  </si>
  <si>
    <t>JENNIFER HARTANTO</t>
  </si>
  <si>
    <t>ELVLYN SONI</t>
  </si>
  <si>
    <t>JESSIE CHANDRA</t>
  </si>
  <si>
    <t>ENEAGLES ROSECITA S</t>
  </si>
  <si>
    <t>KEVIN ORLANDO</t>
  </si>
  <si>
    <t>HIZKIA FELIX WINATA</t>
  </si>
  <si>
    <t>MARCELLA WESLIE</t>
  </si>
  <si>
    <t>HUGO JULIO LAMAN</t>
  </si>
  <si>
    <t>MICHAEL AUSTWEN</t>
  </si>
  <si>
    <t>KEVIN RAY WIJAYA</t>
  </si>
  <si>
    <t>MICHELLE ANGELICA HARLY</t>
  </si>
  <si>
    <t>NATHAN OCTAVIAN LUMINTO</t>
  </si>
  <si>
    <t>RICHEY GUSLIE</t>
  </si>
  <si>
    <t>RAYMOND</t>
  </si>
  <si>
    <t>RUSSEL OTNIEL TJAKRA</t>
  </si>
  <si>
    <t>SAMUEL RAYMOND</t>
  </si>
  <si>
    <t>SAMUEL AGUSTJAHYONO</t>
  </si>
  <si>
    <t>THADEO ARLO</t>
  </si>
  <si>
    <t>SAMUEL PRATAMA LAU</t>
  </si>
  <si>
    <t>TOBIAS HAPOSAN</t>
  </si>
  <si>
    <t>STIVEN TJEN</t>
  </si>
  <si>
    <t>WINSTON LEE</t>
  </si>
  <si>
    <t>ALVIN MATTHEW</t>
  </si>
  <si>
    <t>ADRIAN REYNARD SUTANTO</t>
  </si>
  <si>
    <t>ANDREE GUNAWAN</t>
  </si>
  <si>
    <t>ALVYN</t>
  </si>
  <si>
    <t>ANGEL FITRI SARI</t>
  </si>
  <si>
    <t>ANDREW IVAN SOEGENG</t>
  </si>
  <si>
    <t>ANTONY MARKUS UNEDO ASI H.</t>
  </si>
  <si>
    <t>ARSENIUS DAVIN</t>
  </si>
  <si>
    <t>CALLISTA CHRYSILLA</t>
  </si>
  <si>
    <t>BENEDICTUS LEONARDUS TAMIN</t>
  </si>
  <si>
    <t>CARLOS</t>
  </si>
  <si>
    <t>BRAZALI WIRANATA</t>
  </si>
  <si>
    <t>DANIEL PERMANA</t>
  </si>
  <si>
    <t>CHRISTOPHER</t>
  </si>
  <si>
    <t>HANNAH JOSEPHINE</t>
  </si>
  <si>
    <t>HANS CHRISTIAN</t>
  </si>
  <si>
    <t>JEREMY EVANS DARMAWAN</t>
  </si>
  <si>
    <t>GABRIELA ANSEL TJIPUTRA</t>
  </si>
  <si>
    <t>LEMUEL OWEN HADIKUSUMA</t>
  </si>
  <si>
    <t>GERHARD LUKITA</t>
  </si>
  <si>
    <t>MATTHEW PRIMO SANTOSO</t>
  </si>
  <si>
    <t>JESSICA CLARABELLA CHRISTIANNA</t>
  </si>
  <si>
    <t>MAXWELL JACOB LIM</t>
  </si>
  <si>
    <t>JEREMY HARIMAUWAN</t>
  </si>
  <si>
    <t>MICHELLE JOSHALYN NATASHA</t>
  </si>
  <si>
    <t>JOVANKA MAUREEN</t>
  </si>
  <si>
    <t>NICHOLAS BRYAN</t>
  </si>
  <si>
    <t>JUAN NATANIEL FERDIAN</t>
  </si>
  <si>
    <t>PAUL SAMUEL SOETANTO</t>
  </si>
  <si>
    <t>LIONY NATALIA</t>
  </si>
  <si>
    <t>SHELLANITHA CLARISSA</t>
  </si>
  <si>
    <t>NICOLE FERNANDA ANTON</t>
  </si>
  <si>
    <t>TANIA SAPUTRA</t>
  </si>
  <si>
    <t>SAMUEL SABAHTANI</t>
  </si>
  <si>
    <t>THOMAS AURELIUS DHARMA</t>
  </si>
  <si>
    <t>SUBHADRAWAN WILLIAM NATHAN</t>
  </si>
  <si>
    <t>TIMOTHY KENJI</t>
  </si>
  <si>
    <t>VANESSA AURELIA MULJADI</t>
  </si>
  <si>
    <t>WILLIAM SETTA SURYAWIDJAJA</t>
  </si>
  <si>
    <t>WISNU DWI PRASETYA</t>
  </si>
  <si>
    <t>Emmas Warina Serli  G., SE,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</si>
</sst>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7" fillId="0" borderId="0"/>
    <xf numFmtId="0" fontId="29" fillId="0" borderId="0"/>
  </cellStyleXfs>
  <cellXfs count="320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18" fillId="0" borderId="70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8" fillId="0" borderId="71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8" fillId="0" borderId="72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horizontal="center"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7" fillId="0" borderId="7" xfId="0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30" fillId="7" borderId="7" xfId="0" applyFont="1" applyFill="1" applyBorder="1" applyProtection="1">
      <protection hidden="1"/>
    </xf>
    <xf numFmtId="0" fontId="30" fillId="0" borderId="7" xfId="0" applyFont="1" applyBorder="1" applyAlignment="1" applyProtection="1">
      <protection hidden="1"/>
    </xf>
    <xf numFmtId="49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alignment horizontal="center"/>
      <protection locked="0"/>
    </xf>
    <xf numFmtId="1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Font="1" applyBorder="1" applyAlignment="1" applyProtection="1">
      <alignment horizontal="center"/>
      <protection hidden="1"/>
    </xf>
    <xf numFmtId="49" fontId="30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0" borderId="65" xfId="0" quotePrefix="1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30" fillId="0" borderId="0" xfId="0" applyFont="1" applyBorder="1" applyProtection="1">
      <protection hidden="1"/>
    </xf>
    <xf numFmtId="0" fontId="30" fillId="0" borderId="0" xfId="0" applyFont="1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49" fontId="30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0" fillId="0" borderId="7" xfId="0" applyNumberFormat="1" applyFont="1" applyBorder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37" fillId="4" borderId="7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13" fillId="0" borderId="0" xfId="0" applyFont="1" applyBorder="1" applyAlignment="1" applyProtection="1">
      <alignment horizontal="center" vertical="top" wrapText="1"/>
      <protection hidden="1"/>
    </xf>
    <xf numFmtId="1" fontId="30" fillId="0" borderId="33" xfId="0" applyNumberFormat="1" applyFont="1" applyBorder="1" applyAlignment="1" applyProtection="1">
      <alignment horizontal="center"/>
      <protection hidden="1"/>
    </xf>
    <xf numFmtId="0" fontId="39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36" fillId="3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8" borderId="50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49" fontId="44" fillId="0" borderId="0" xfId="0" applyNumberFormat="1" applyFont="1" applyProtection="1">
      <protection hidden="1"/>
    </xf>
    <xf numFmtId="0" fontId="34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center"/>
      <protection hidden="1"/>
    </xf>
    <xf numFmtId="0" fontId="30" fillId="0" borderId="7" xfId="0" applyFont="1" applyBorder="1" applyProtection="1">
      <protection hidden="1"/>
    </xf>
    <xf numFmtId="0" fontId="5" fillId="0" borderId="73" xfId="0" quotePrefix="1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7" fillId="6" borderId="0" xfId="0" applyFont="1" applyFill="1" applyProtection="1">
      <protection hidden="1"/>
    </xf>
    <xf numFmtId="0" fontId="7" fillId="6" borderId="0" xfId="0" applyFont="1" applyFill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/>
      <protection hidden="1"/>
    </xf>
    <xf numFmtId="49" fontId="30" fillId="0" borderId="0" xfId="0" applyNumberFormat="1" applyFont="1" applyBorder="1" applyAlignment="1" applyProtection="1">
      <alignment horizontal="center"/>
      <protection hidden="1"/>
    </xf>
    <xf numFmtId="0" fontId="30" fillId="0" borderId="0" xfId="0" applyNumberFormat="1" applyFont="1" applyBorder="1" applyAlignment="1" applyProtection="1">
      <alignment horizontal="left"/>
      <protection hidden="1"/>
    </xf>
    <xf numFmtId="0" fontId="0" fillId="0" borderId="33" xfId="0" applyFill="1" applyBorder="1" applyAlignment="1" applyProtection="1">
      <alignment horizontal="center"/>
      <protection locked="0" hidden="1"/>
    </xf>
    <xf numFmtId="0" fontId="7" fillId="6" borderId="0" xfId="0" quotePrefix="1" applyFont="1" applyFill="1" applyAlignment="1" applyProtection="1">
      <alignment horizontal="center"/>
      <protection hidden="1"/>
    </xf>
    <xf numFmtId="0" fontId="0" fillId="6" borderId="0" xfId="0" quotePrefix="1" applyFill="1" applyAlignment="1" applyProtection="1">
      <alignment horizontal="center"/>
      <protection hidden="1"/>
    </xf>
    <xf numFmtId="0" fontId="7" fillId="6" borderId="0" xfId="0" quotePrefix="1" applyFont="1" applyFill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18" fillId="0" borderId="42" xfId="0" applyFont="1" applyFill="1" applyBorder="1" applyAlignment="1" applyProtection="1">
      <alignment vertical="center"/>
      <protection hidden="1"/>
    </xf>
    <xf numFmtId="0" fontId="17" fillId="0" borderId="42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locked="0"/>
    </xf>
    <xf numFmtId="0" fontId="17" fillId="0" borderId="44" xfId="0" applyFont="1" applyFill="1" applyBorder="1" applyAlignment="1" applyProtection="1">
      <alignment vertical="center"/>
      <protection locked="0"/>
    </xf>
    <xf numFmtId="0" fontId="17" fillId="5" borderId="42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22" fillId="6" borderId="0" xfId="0" applyFont="1" applyFill="1" applyAlignment="1" applyProtection="1">
      <alignment horizontal="center"/>
      <protection hidden="1"/>
    </xf>
    <xf numFmtId="0" fontId="16" fillId="6" borderId="0" xfId="0" applyFont="1" applyFill="1" applyAlignment="1" applyProtection="1">
      <alignment horizontal="center"/>
      <protection hidden="1"/>
    </xf>
    <xf numFmtId="0" fontId="17" fillId="5" borderId="0" xfId="0" applyFont="1" applyFill="1" applyBorder="1" applyAlignment="1" applyProtection="1">
      <alignment horizontal="left" vertical="center"/>
      <protection hidden="1"/>
    </xf>
    <xf numFmtId="49" fontId="40" fillId="5" borderId="0" xfId="0" quotePrefix="1" applyNumberFormat="1" applyFont="1" applyFill="1" applyBorder="1" applyAlignment="1" applyProtection="1">
      <alignment horizontal="left" vertical="center"/>
      <protection locked="0"/>
    </xf>
    <xf numFmtId="49" fontId="40" fillId="5" borderId="44" xfId="0" quotePrefix="1" applyNumberFormat="1" applyFont="1" applyFill="1" applyBorder="1" applyAlignment="1" applyProtection="1">
      <alignment horizontal="left" vertical="center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0" fontId="17" fillId="0" borderId="42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39" fillId="3" borderId="7" xfId="0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32" fillId="3" borderId="7" xfId="0" applyFont="1" applyFill="1" applyBorder="1" applyAlignment="1" applyProtection="1">
      <alignment horizontal="center"/>
      <protection hidden="1"/>
    </xf>
    <xf numFmtId="0" fontId="32" fillId="3" borderId="31" xfId="0" applyFont="1" applyFill="1" applyBorder="1" applyAlignment="1" applyProtection="1">
      <alignment horizontal="center" vertical="center"/>
      <protection hidden="1"/>
    </xf>
    <xf numFmtId="0" fontId="32" fillId="3" borderId="32" xfId="0" applyFont="1" applyFill="1" applyBorder="1" applyAlignment="1" applyProtection="1">
      <alignment horizontal="center" vertical="center"/>
      <protection hidden="1"/>
    </xf>
    <xf numFmtId="0" fontId="32" fillId="3" borderId="33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/>
      <protection hidden="1"/>
    </xf>
    <xf numFmtId="0" fontId="35" fillId="3" borderId="31" xfId="0" applyFont="1" applyFill="1" applyBorder="1" applyAlignment="1" applyProtection="1">
      <alignment horizontal="center" vertical="center"/>
      <protection hidden="1"/>
    </xf>
    <xf numFmtId="0" fontId="35" fillId="3" borderId="32" xfId="0" applyFont="1" applyFill="1" applyBorder="1" applyAlignment="1" applyProtection="1">
      <alignment horizontal="center" vertical="center"/>
      <protection hidden="1"/>
    </xf>
    <xf numFmtId="0" fontId="35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/>
      <protection hidden="1"/>
    </xf>
    <xf numFmtId="0" fontId="39" fillId="3" borderId="32" xfId="0" applyFont="1" applyFill="1" applyBorder="1" applyAlignment="1" applyProtection="1">
      <alignment horizontal="center" vertical="center"/>
      <protection hidden="1"/>
    </xf>
    <xf numFmtId="0" fontId="39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 wrapText="1"/>
      <protection hidden="1"/>
    </xf>
    <xf numFmtId="0" fontId="39" fillId="3" borderId="32" xfId="0" applyFont="1" applyFill="1" applyBorder="1" applyAlignment="1" applyProtection="1">
      <alignment horizontal="center" vertical="center" wrapText="1"/>
      <protection hidden="1"/>
    </xf>
    <xf numFmtId="0" fontId="39" fillId="3" borderId="33" xfId="0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32" fillId="4" borderId="7" xfId="0" applyFont="1" applyFill="1" applyBorder="1" applyAlignment="1" applyProtection="1">
      <alignment horizontal="center"/>
      <protection hidden="1"/>
    </xf>
    <xf numFmtId="0" fontId="32" fillId="4" borderId="2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35" fillId="4" borderId="7" xfId="0" applyFont="1" applyFill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13" fillId="8" borderId="2" xfId="0" applyFont="1" applyFill="1" applyBorder="1" applyAlignment="1" applyProtection="1">
      <alignment horizontal="center"/>
      <protection hidden="1"/>
    </xf>
    <xf numFmtId="0" fontId="13" fillId="8" borderId="51" xfId="0" applyFont="1" applyFill="1" applyBorder="1" applyAlignment="1" applyProtection="1">
      <alignment horizontal="center"/>
      <protection hidden="1"/>
    </xf>
    <xf numFmtId="0" fontId="41" fillId="0" borderId="0" xfId="0" applyFont="1" applyAlignment="1" applyProtection="1">
      <alignment horizont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</cellXfs>
  <cellStyles count="3"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388774</xdr:colOff>
      <xdr:row>5</xdr:row>
      <xdr:rowOff>165229</xdr:rowOff>
    </xdr:from>
    <xdr:to>
      <xdr:col>8</xdr:col>
      <xdr:colOff>151157</xdr:colOff>
      <xdr:row>14</xdr:row>
      <xdr:rowOff>106912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37F1FA35-7010-4B8A-8EE3-D63E87184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22320" y="1730050"/>
          <a:ext cx="1599347" cy="142875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142875</xdr:colOff>
      <xdr:row>0</xdr:row>
      <xdr:rowOff>57150</xdr:rowOff>
    </xdr:from>
    <xdr:to>
      <xdr:col>19</xdr:col>
      <xdr:colOff>485775</xdr:colOff>
      <xdr:row>2</xdr:row>
      <xdr:rowOff>3175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E34DB2DB-8ABD-4B88-9643-F846FAF55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39775" y="57150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390525</xdr:colOff>
      <xdr:row>1</xdr:row>
      <xdr:rowOff>114300</xdr:rowOff>
    </xdr:from>
    <xdr:to>
      <xdr:col>11</xdr:col>
      <xdr:colOff>428625</xdr:colOff>
      <xdr:row>3</xdr:row>
      <xdr:rowOff>222250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55688D6B-0395-4192-8F3B-025E12298C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67925" y="276225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485775</xdr:colOff>
      <xdr:row>1</xdr:row>
      <xdr:rowOff>114300</xdr:rowOff>
    </xdr:from>
    <xdr:to>
      <xdr:col>9</xdr:col>
      <xdr:colOff>523875</xdr:colOff>
      <xdr:row>3</xdr:row>
      <xdr:rowOff>231775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1A617184-8D04-40FC-8030-5596801D9D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4375" y="276225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66675</xdr:rowOff>
    </xdr:from>
    <xdr:to>
      <xdr:col>1</xdr:col>
      <xdr:colOff>785523</xdr:colOff>
      <xdr:row>1</xdr:row>
      <xdr:rowOff>64729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CB0F4142-20BA-4345-9D05-1DEC566C7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66675"/>
          <a:ext cx="880773" cy="788629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R34"/>
  <sheetViews>
    <sheetView showGridLines="0" tabSelected="1" topLeftCell="K11" zoomScale="98" zoomScaleNormal="98" workbookViewId="0">
      <selection activeCell="R16" sqref="R16"/>
    </sheetView>
  </sheetViews>
  <sheetFormatPr defaultRowHeight="12.75" x14ac:dyDescent="0.2"/>
  <cols>
    <col min="1" max="1" width="9.140625" style="161"/>
    <col min="2" max="2" width="29.28515625" style="161" customWidth="1"/>
    <col min="3" max="3" width="3.5703125" style="162" customWidth="1"/>
    <col min="4" max="8" width="9.140625" style="161"/>
    <col min="9" max="9" width="11.5703125" style="161" customWidth="1"/>
    <col min="10" max="10" width="9.140625" style="161"/>
    <col min="11" max="11" width="9.85546875" style="161" bestFit="1" customWidth="1"/>
    <col min="12" max="15" width="9.140625" style="161"/>
    <col min="16" max="16" width="9.140625" style="161" hidden="1" customWidth="1"/>
    <col min="17" max="17" width="11.85546875" style="161" hidden="1" customWidth="1"/>
    <col min="18" max="16384" width="9.140625" style="161"/>
  </cols>
  <sheetData>
    <row r="1" spans="2:14" ht="17.25" customHeight="1" x14ac:dyDescent="0.2"/>
    <row r="2" spans="2:14" ht="45" x14ac:dyDescent="0.6">
      <c r="B2" s="179" t="s">
        <v>249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</row>
    <row r="3" spans="2:14" ht="34.5" x14ac:dyDescent="0.45">
      <c r="B3" s="180" t="s">
        <v>260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</row>
    <row r="15" spans="2:14" ht="28.5" customHeight="1" x14ac:dyDescent="0.2"/>
    <row r="16" spans="2:14" ht="13.5" thickBot="1" x14ac:dyDescent="0.25"/>
    <row r="17" spans="1:18" ht="23.25" x14ac:dyDescent="0.35">
      <c r="A17" s="163"/>
      <c r="B17" s="80" t="s">
        <v>139</v>
      </c>
      <c r="C17" s="81" t="s">
        <v>1</v>
      </c>
      <c r="D17" s="177"/>
      <c r="E17" s="177"/>
      <c r="F17" s="177"/>
      <c r="G17" s="177"/>
      <c r="H17" s="177"/>
      <c r="I17" s="173"/>
      <c r="J17" s="174"/>
      <c r="K17" s="185"/>
      <c r="L17" s="185"/>
      <c r="M17" s="82"/>
      <c r="N17" s="83"/>
      <c r="O17" s="163"/>
    </row>
    <row r="18" spans="1:18" ht="23.25" x14ac:dyDescent="0.35">
      <c r="A18" s="163"/>
      <c r="B18" s="84" t="s">
        <v>140</v>
      </c>
      <c r="C18" s="85" t="s">
        <v>1</v>
      </c>
      <c r="D18" s="178" t="s">
        <v>367</v>
      </c>
      <c r="E18" s="178"/>
      <c r="F18" s="178"/>
      <c r="G18" s="178"/>
      <c r="H18" s="178"/>
      <c r="I18" s="86" t="s">
        <v>136</v>
      </c>
      <c r="J18" s="87" t="s">
        <v>1</v>
      </c>
      <c r="K18" s="184" t="s">
        <v>254</v>
      </c>
      <c r="L18" s="184"/>
      <c r="M18" s="175"/>
      <c r="N18" s="176"/>
      <c r="O18" s="163"/>
    </row>
    <row r="19" spans="1:18" ht="23.25" x14ac:dyDescent="0.35">
      <c r="A19" s="163"/>
      <c r="B19" s="84" t="s">
        <v>137</v>
      </c>
      <c r="C19" s="85" t="s">
        <v>1</v>
      </c>
      <c r="D19" s="181" t="s">
        <v>180</v>
      </c>
      <c r="E19" s="181"/>
      <c r="F19" s="88"/>
      <c r="G19" s="88"/>
      <c r="H19" s="88"/>
      <c r="I19" s="86" t="s">
        <v>223</v>
      </c>
      <c r="J19" s="87" t="s">
        <v>1</v>
      </c>
      <c r="K19" s="182" t="s">
        <v>264</v>
      </c>
      <c r="L19" s="182"/>
      <c r="M19" s="182"/>
      <c r="N19" s="183"/>
      <c r="O19" s="163"/>
    </row>
    <row r="20" spans="1:18" ht="23.25" x14ac:dyDescent="0.35">
      <c r="A20" s="163"/>
      <c r="B20" s="84" t="s">
        <v>138</v>
      </c>
      <c r="C20" s="85" t="s">
        <v>1</v>
      </c>
      <c r="D20" s="178" t="s">
        <v>289</v>
      </c>
      <c r="E20" s="178"/>
      <c r="F20" s="88"/>
      <c r="G20" s="88"/>
      <c r="H20" s="88"/>
      <c r="I20" s="86"/>
      <c r="J20" s="87"/>
      <c r="K20" s="87"/>
      <c r="L20" s="88"/>
      <c r="M20" s="88"/>
      <c r="N20" s="89"/>
      <c r="O20" s="163"/>
    </row>
    <row r="21" spans="1:18" ht="24" thickBot="1" x14ac:dyDescent="0.4">
      <c r="A21" s="163"/>
      <c r="B21" s="90"/>
      <c r="C21" s="91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/>
      <c r="O21" s="163"/>
    </row>
    <row r="22" spans="1:18" x14ac:dyDescent="0.2">
      <c r="P22" s="164" t="s">
        <v>180</v>
      </c>
      <c r="Q22" s="169" t="s">
        <v>251</v>
      </c>
      <c r="R22" s="171"/>
    </row>
    <row r="23" spans="1:18" x14ac:dyDescent="0.2">
      <c r="P23" s="164" t="s">
        <v>181</v>
      </c>
      <c r="Q23" s="170" t="s">
        <v>252</v>
      </c>
      <c r="R23" s="171"/>
    </row>
    <row r="24" spans="1:18" x14ac:dyDescent="0.2">
      <c r="P24" s="162"/>
      <c r="Q24" s="170" t="s">
        <v>253</v>
      </c>
      <c r="R24" s="171"/>
    </row>
    <row r="25" spans="1:18" x14ac:dyDescent="0.2">
      <c r="P25" s="162"/>
      <c r="Q25" s="170" t="s">
        <v>254</v>
      </c>
      <c r="R25" s="171"/>
    </row>
    <row r="26" spans="1:18" x14ac:dyDescent="0.2">
      <c r="P26" s="162"/>
      <c r="Q26" s="162"/>
      <c r="R26" s="171"/>
    </row>
    <row r="27" spans="1:18" x14ac:dyDescent="0.2">
      <c r="P27" s="162"/>
      <c r="Q27" s="162"/>
      <c r="R27" s="171"/>
    </row>
    <row r="28" spans="1:18" x14ac:dyDescent="0.2">
      <c r="P28" s="162"/>
      <c r="Q28" s="162"/>
      <c r="R28" s="171"/>
    </row>
    <row r="29" spans="1:18" x14ac:dyDescent="0.2">
      <c r="P29" s="162"/>
      <c r="Q29" s="162"/>
      <c r="R29" s="171"/>
    </row>
    <row r="30" spans="1:18" x14ac:dyDescent="0.2">
      <c r="P30" s="162"/>
      <c r="Q30" s="162"/>
      <c r="R30" s="171"/>
    </row>
    <row r="31" spans="1:18" x14ac:dyDescent="0.2">
      <c r="P31" s="162"/>
      <c r="Q31" s="162"/>
      <c r="R31" s="171"/>
    </row>
    <row r="32" spans="1:18" x14ac:dyDescent="0.2">
      <c r="P32" s="162"/>
      <c r="Q32" s="162"/>
      <c r="R32" s="171"/>
    </row>
    <row r="33" spans="16:18" x14ac:dyDescent="0.2">
      <c r="P33" s="162"/>
      <c r="Q33" s="162"/>
      <c r="R33" s="171"/>
    </row>
    <row r="34" spans="16:18" x14ac:dyDescent="0.2">
      <c r="P34" s="162"/>
      <c r="Q34" s="162"/>
      <c r="R34" s="171"/>
    </row>
  </sheetData>
  <sheetProtection password="C71F" sheet="1" objects="1" scenarios="1"/>
  <mergeCells count="9">
    <mergeCell ref="D17:H17"/>
    <mergeCell ref="D20:E20"/>
    <mergeCell ref="B2:N2"/>
    <mergeCell ref="B3:N3"/>
    <mergeCell ref="D18:H18"/>
    <mergeCell ref="D19:E19"/>
    <mergeCell ref="K19:N19"/>
    <mergeCell ref="K18:L18"/>
    <mergeCell ref="K17:L17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:L18">
      <formula1>$Q$22:$Q$25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P78"/>
  <sheetViews>
    <sheetView showGridLines="0" view="pageBreakPreview" topLeftCell="A16" zoomScaleNormal="100" zoomScaleSheetLayoutView="100" workbookViewId="0">
      <selection activeCell="BP19" sqref="BP19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1" width="9.140625" style="1"/>
    <col min="22" max="22" width="11.42578125" style="1" customWidth="1"/>
    <col min="23" max="36" width="9.140625" style="1" hidden="1" customWidth="1"/>
    <col min="37" max="38" width="31.42578125" style="1" hidden="1" customWidth="1"/>
    <col min="39" max="39" width="9.140625" style="1" hidden="1" customWidth="1"/>
    <col min="40" max="40" width="24" style="1" hidden="1" customWidth="1"/>
    <col min="41" max="41" width="22.7109375" style="1" hidden="1" customWidth="1"/>
    <col min="42" max="42" width="25.7109375" style="1" hidden="1" customWidth="1"/>
    <col min="43" max="43" width="27.7109375" style="1" hidden="1" customWidth="1"/>
    <col min="44" max="53" width="12.7109375" style="1" hidden="1" customWidth="1"/>
    <col min="54" max="54" width="9.140625" style="1" hidden="1" customWidth="1"/>
    <col min="55" max="67" width="12.7109375" style="1" hidden="1" customWidth="1"/>
    <col min="68" max="16384" width="9.140625" style="1"/>
  </cols>
  <sheetData>
    <row r="1" spans="1:68" ht="58.5" x14ac:dyDescent="0.7">
      <c r="A1" s="195" t="s">
        <v>261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</row>
    <row r="3" spans="1:68" ht="18.75" x14ac:dyDescent="0.3">
      <c r="B3" s="154" t="s">
        <v>146</v>
      </c>
      <c r="C3" s="155" t="str">
        <f>Cover!K18</f>
        <v>12 Science 2</v>
      </c>
      <c r="R3" s="205" t="s">
        <v>248</v>
      </c>
      <c r="S3" s="205"/>
      <c r="T3" s="206" t="str">
        <f>Cover!D20</f>
        <v>2017-2018</v>
      </c>
      <c r="U3" s="206"/>
    </row>
    <row r="5" spans="1:68" ht="26.25" x14ac:dyDescent="0.4">
      <c r="A5" s="196" t="s">
        <v>225</v>
      </c>
      <c r="B5" s="192" t="s">
        <v>130</v>
      </c>
      <c r="C5" s="192" t="s">
        <v>241</v>
      </c>
      <c r="D5" s="191" t="s">
        <v>240</v>
      </c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88" t="s">
        <v>242</v>
      </c>
      <c r="S5" s="199" t="s">
        <v>246</v>
      </c>
      <c r="T5" s="199" t="s">
        <v>231</v>
      </c>
      <c r="U5" s="202" t="s">
        <v>243</v>
      </c>
      <c r="V5" s="148"/>
      <c r="W5" s="148"/>
    </row>
    <row r="6" spans="1:68" ht="20.25" customHeight="1" x14ac:dyDescent="0.3">
      <c r="A6" s="197"/>
      <c r="B6" s="193"/>
      <c r="C6" s="193"/>
      <c r="D6" s="149" t="s">
        <v>9</v>
      </c>
      <c r="E6" s="149" t="s">
        <v>177</v>
      </c>
      <c r="F6" s="149" t="s">
        <v>141</v>
      </c>
      <c r="G6" s="149" t="s">
        <v>15</v>
      </c>
      <c r="H6" s="149" t="s">
        <v>142</v>
      </c>
      <c r="I6" s="149" t="s">
        <v>19</v>
      </c>
      <c r="J6" s="149" t="s">
        <v>21</v>
      </c>
      <c r="K6" s="149" t="s">
        <v>23</v>
      </c>
      <c r="L6" s="149" t="s">
        <v>256</v>
      </c>
      <c r="M6" s="149" t="s">
        <v>144</v>
      </c>
      <c r="N6" s="149" t="s">
        <v>143</v>
      </c>
      <c r="O6" s="149" t="s">
        <v>145</v>
      </c>
      <c r="P6" s="149" t="s">
        <v>257</v>
      </c>
      <c r="Q6" s="149" t="s">
        <v>265</v>
      </c>
      <c r="R6" s="188"/>
      <c r="S6" s="200"/>
      <c r="T6" s="200"/>
      <c r="U6" s="203"/>
      <c r="V6" s="148"/>
      <c r="W6" s="148"/>
      <c r="Y6" s="41"/>
      <c r="Z6" s="43"/>
      <c r="AA6" s="43"/>
      <c r="AB6" s="43"/>
      <c r="AC6" s="43"/>
      <c r="AD6" s="107"/>
      <c r="AE6" s="43"/>
      <c r="AF6" s="43"/>
      <c r="AG6" s="43"/>
      <c r="AH6" s="43"/>
      <c r="AI6" s="43"/>
      <c r="AJ6" s="107"/>
      <c r="AK6" s="107"/>
      <c r="AL6" s="43"/>
      <c r="AO6" s="103"/>
      <c r="AP6" s="103"/>
      <c r="AQ6" s="103"/>
      <c r="AR6" s="103"/>
      <c r="AS6" s="107"/>
      <c r="AT6" s="103"/>
      <c r="AU6" s="103"/>
      <c r="AV6" s="103"/>
      <c r="AW6" s="103"/>
      <c r="AX6" s="103"/>
      <c r="AY6" s="107"/>
      <c r="AZ6" s="107"/>
      <c r="BA6" s="103"/>
      <c r="BB6" s="101"/>
    </row>
    <row r="7" spans="1:68" ht="25.5" customHeight="1" x14ac:dyDescent="0.3">
      <c r="A7" s="198"/>
      <c r="B7" s="194"/>
      <c r="C7" s="194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88"/>
      <c r="S7" s="201"/>
      <c r="T7" s="201"/>
      <c r="U7" s="204"/>
      <c r="V7" s="148"/>
      <c r="W7" s="147" t="s">
        <v>235</v>
      </c>
      <c r="X7" s="147" t="s">
        <v>236</v>
      </c>
      <c r="Y7" s="147" t="s">
        <v>15</v>
      </c>
      <c r="Z7" s="147" t="s">
        <v>142</v>
      </c>
      <c r="AA7" s="147" t="s">
        <v>19</v>
      </c>
      <c r="AB7" s="147" t="s">
        <v>21</v>
      </c>
      <c r="AC7" s="147" t="s">
        <v>23</v>
      </c>
      <c r="AD7" s="147" t="s">
        <v>237</v>
      </c>
      <c r="AE7" s="147" t="s">
        <v>177</v>
      </c>
      <c r="AF7" s="147" t="s">
        <v>174</v>
      </c>
      <c r="AG7" s="147" t="s">
        <v>143</v>
      </c>
      <c r="AH7" s="147" t="s">
        <v>238</v>
      </c>
      <c r="AI7" s="147" t="s">
        <v>144</v>
      </c>
      <c r="AJ7" s="147" t="s">
        <v>145</v>
      </c>
      <c r="AK7" s="148"/>
      <c r="AM7" s="41">
        <v>1</v>
      </c>
      <c r="AN7" s="79" t="s">
        <v>251</v>
      </c>
      <c r="AO7" s="79" t="s">
        <v>252</v>
      </c>
      <c r="AP7" s="102" t="s">
        <v>253</v>
      </c>
      <c r="AQ7" s="102" t="s">
        <v>254</v>
      </c>
      <c r="AR7" s="102"/>
      <c r="AS7" s="102"/>
      <c r="AT7" s="102"/>
      <c r="AU7" s="102"/>
      <c r="AV7" s="102"/>
      <c r="AW7" s="102"/>
      <c r="AX7" s="102"/>
      <c r="AY7" s="102"/>
      <c r="AZ7" s="102"/>
      <c r="BA7" s="172"/>
      <c r="BB7" s="172"/>
      <c r="BC7" s="79" t="s">
        <v>251</v>
      </c>
      <c r="BD7" s="79" t="s">
        <v>252</v>
      </c>
      <c r="BE7" s="102" t="s">
        <v>253</v>
      </c>
      <c r="BF7" s="102" t="s">
        <v>254</v>
      </c>
      <c r="BG7" s="102"/>
      <c r="BH7" s="102"/>
      <c r="BI7" s="102"/>
      <c r="BJ7" s="102"/>
      <c r="BK7" s="102"/>
      <c r="BL7" s="102"/>
      <c r="BM7" s="102"/>
      <c r="BN7" s="102"/>
      <c r="BO7" s="102"/>
      <c r="BP7" s="101"/>
    </row>
    <row r="8" spans="1:68" x14ac:dyDescent="0.2">
      <c r="A8" s="114">
        <f t="shared" ref="A8:A32" si="0">IF(C8=" "," ",A37)</f>
        <v>1</v>
      </c>
      <c r="B8" s="129">
        <f t="shared" ref="B8:B31" si="1">IF(C8=" "," ",B37)</f>
        <v>0</v>
      </c>
      <c r="C8" s="111" t="str">
        <f t="shared" ref="C8:C30" si="2">IF(C37=0," ",C37)</f>
        <v>ADRIAN REYNARD SUTANTO</v>
      </c>
      <c r="D8" s="168"/>
      <c r="E8" s="168"/>
      <c r="F8" s="168"/>
      <c r="G8" s="168"/>
      <c r="H8" s="168"/>
      <c r="I8" s="168"/>
      <c r="J8" s="168"/>
      <c r="K8" s="168"/>
      <c r="L8" s="168"/>
      <c r="M8" s="112"/>
      <c r="N8" s="168"/>
      <c r="O8" s="168"/>
      <c r="P8" s="168"/>
      <c r="Q8" s="168"/>
      <c r="R8" s="138" t="str">
        <f>IF(SUM(D8:Q8)=0," ",ROUND(AVERAGE(D8:Q8),0))</f>
        <v xml:space="preserve"> </v>
      </c>
      <c r="S8" s="116" t="str">
        <f>IF(SUM(D8:Q8)=0," ",SUM(D8:Q8))</f>
        <v xml:space="preserve"> </v>
      </c>
      <c r="T8" s="116" t="str">
        <f t="shared" ref="T8:T25" si="3">IF(SUM(D8:Q8)=0," ",RANK(S8,$S$8:$S$32,0))</f>
        <v xml:space="preserve"> </v>
      </c>
      <c r="U8" s="4" t="str">
        <f>IF(SUM(D8:Q8)=0," ",SUM(W8:AJ8))</f>
        <v xml:space="preserve"> </v>
      </c>
      <c r="V8" s="145"/>
      <c r="W8" s="4">
        <f>IF($A8=" "," ",IF(D8&lt;D$7,1,0))</f>
        <v>0</v>
      </c>
      <c r="X8" s="4">
        <f t="shared" ref="X8:AJ23" si="4">IF($A8=" "," ",IF(E8&lt;E$7,1,0))</f>
        <v>0</v>
      </c>
      <c r="Y8" s="4">
        <f t="shared" si="4"/>
        <v>0</v>
      </c>
      <c r="Z8" s="4">
        <f t="shared" si="4"/>
        <v>0</v>
      </c>
      <c r="AA8" s="4">
        <f t="shared" si="4"/>
        <v>0</v>
      </c>
      <c r="AB8" s="4">
        <f t="shared" si="4"/>
        <v>0</v>
      </c>
      <c r="AC8" s="4">
        <f t="shared" si="4"/>
        <v>0</v>
      </c>
      <c r="AD8" s="4">
        <f t="shared" si="4"/>
        <v>0</v>
      </c>
      <c r="AE8" s="4">
        <f t="shared" si="4"/>
        <v>0</v>
      </c>
      <c r="AF8" s="4">
        <f t="shared" si="4"/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145"/>
      <c r="AM8" s="53">
        <v>2</v>
      </c>
      <c r="AN8" s="108" t="s">
        <v>290</v>
      </c>
      <c r="AO8" s="108" t="s">
        <v>291</v>
      </c>
      <c r="AP8" s="108" t="s">
        <v>327</v>
      </c>
      <c r="AQ8" s="108" t="s">
        <v>328</v>
      </c>
      <c r="AR8" s="108"/>
      <c r="AS8" s="108"/>
      <c r="AT8" s="108"/>
      <c r="AU8" s="108"/>
      <c r="AV8" s="108"/>
      <c r="AW8" s="108"/>
      <c r="AX8" s="108"/>
      <c r="AY8" s="108"/>
      <c r="AZ8" s="108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</row>
    <row r="9" spans="1:68" x14ac:dyDescent="0.2">
      <c r="A9" s="114">
        <f t="shared" si="0"/>
        <v>2</v>
      </c>
      <c r="B9" s="129">
        <f t="shared" si="1"/>
        <v>0</v>
      </c>
      <c r="C9" s="111" t="str">
        <f t="shared" si="2"/>
        <v>ALVYN</v>
      </c>
      <c r="D9" s="168"/>
      <c r="E9" s="168"/>
      <c r="F9" s="168"/>
      <c r="G9" s="168"/>
      <c r="H9" s="168"/>
      <c r="I9" s="168"/>
      <c r="J9" s="168"/>
      <c r="K9" s="168"/>
      <c r="L9" s="168"/>
      <c r="M9" s="112"/>
      <c r="N9" s="168"/>
      <c r="O9" s="168"/>
      <c r="P9" s="168"/>
      <c r="Q9" s="168"/>
      <c r="R9" s="138" t="str">
        <f t="shared" ref="R9:R25" si="5">IF(SUM(D9:Q9)=0," ",ROUND(AVERAGE(D9:Q9),0))</f>
        <v xml:space="preserve"> </v>
      </c>
      <c r="S9" s="116" t="str">
        <f t="shared" ref="S9:S25" si="6">IF(SUM(D9:Q9)=0," ",SUM(D9:Q9))</f>
        <v xml:space="preserve"> </v>
      </c>
      <c r="T9" s="116" t="str">
        <f t="shared" si="3"/>
        <v xml:space="preserve"> </v>
      </c>
      <c r="U9" s="4" t="str">
        <f t="shared" ref="U9:U25" si="7">IF(SUM(D9:Q9)=0," ",SUM(W9:AJ9))</f>
        <v xml:space="preserve"> </v>
      </c>
      <c r="V9" s="145"/>
      <c r="W9" s="4">
        <f t="shared" ref="W9:W32" si="8">IF($A9=" "," ",IF(D9&lt;D$7,1,0))</f>
        <v>0</v>
      </c>
      <c r="X9" s="4">
        <f t="shared" si="4"/>
        <v>0</v>
      </c>
      <c r="Y9" s="4">
        <f t="shared" si="4"/>
        <v>0</v>
      </c>
      <c r="Z9" s="4">
        <f t="shared" si="4"/>
        <v>0</v>
      </c>
      <c r="AA9" s="4">
        <f t="shared" si="4"/>
        <v>0</v>
      </c>
      <c r="AB9" s="4">
        <f t="shared" si="4"/>
        <v>0</v>
      </c>
      <c r="AC9" s="4">
        <f t="shared" si="4"/>
        <v>0</v>
      </c>
      <c r="AD9" s="4">
        <f t="shared" si="4"/>
        <v>0</v>
      </c>
      <c r="AE9" s="4">
        <f t="shared" si="4"/>
        <v>0</v>
      </c>
      <c r="AF9" s="4">
        <f t="shared" si="4"/>
        <v>0</v>
      </c>
      <c r="AG9" s="4">
        <f t="shared" si="4"/>
        <v>0</v>
      </c>
      <c r="AH9" s="4">
        <f t="shared" si="4"/>
        <v>0</v>
      </c>
      <c r="AI9" s="4">
        <f t="shared" si="4"/>
        <v>0</v>
      </c>
      <c r="AJ9" s="4">
        <f t="shared" si="4"/>
        <v>0</v>
      </c>
      <c r="AK9" s="145"/>
      <c r="AM9" s="53">
        <v>3</v>
      </c>
      <c r="AN9" s="108" t="s">
        <v>292</v>
      </c>
      <c r="AO9" s="108" t="s">
        <v>293</v>
      </c>
      <c r="AP9" s="108" t="s">
        <v>329</v>
      </c>
      <c r="AQ9" s="108" t="s">
        <v>330</v>
      </c>
      <c r="AR9" s="108"/>
      <c r="AS9" s="108"/>
      <c r="AT9" s="108"/>
      <c r="AU9" s="108"/>
      <c r="AV9" s="108"/>
      <c r="AW9" s="108"/>
      <c r="AX9" s="108"/>
      <c r="AY9" s="108"/>
      <c r="AZ9" s="108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</row>
    <row r="10" spans="1:68" x14ac:dyDescent="0.2">
      <c r="A10" s="114">
        <f t="shared" si="0"/>
        <v>3</v>
      </c>
      <c r="B10" s="129">
        <f t="shared" si="1"/>
        <v>0</v>
      </c>
      <c r="C10" s="111" t="str">
        <f t="shared" si="2"/>
        <v>ANDREW IVAN SOEGENG</v>
      </c>
      <c r="D10" s="168"/>
      <c r="E10" s="168"/>
      <c r="F10" s="168"/>
      <c r="G10" s="168"/>
      <c r="H10" s="168"/>
      <c r="I10" s="168"/>
      <c r="J10" s="168"/>
      <c r="K10" s="168"/>
      <c r="L10" s="168"/>
      <c r="M10" s="112"/>
      <c r="N10" s="168"/>
      <c r="O10" s="168"/>
      <c r="P10" s="168"/>
      <c r="Q10" s="168"/>
      <c r="R10" s="138" t="str">
        <f t="shared" si="5"/>
        <v xml:space="preserve"> </v>
      </c>
      <c r="S10" s="116" t="str">
        <f t="shared" si="6"/>
        <v xml:space="preserve"> </v>
      </c>
      <c r="T10" s="116" t="str">
        <f t="shared" si="3"/>
        <v xml:space="preserve"> </v>
      </c>
      <c r="U10" s="4" t="str">
        <f t="shared" si="7"/>
        <v xml:space="preserve"> </v>
      </c>
      <c r="V10" s="145"/>
      <c r="W10" s="4">
        <f t="shared" si="8"/>
        <v>0</v>
      </c>
      <c r="X10" s="4">
        <f t="shared" si="4"/>
        <v>0</v>
      </c>
      <c r="Y10" s="4">
        <f t="shared" si="4"/>
        <v>0</v>
      </c>
      <c r="Z10" s="4">
        <f t="shared" si="4"/>
        <v>0</v>
      </c>
      <c r="AA10" s="4">
        <f t="shared" si="4"/>
        <v>0</v>
      </c>
      <c r="AB10" s="4">
        <f t="shared" si="4"/>
        <v>0</v>
      </c>
      <c r="AC10" s="4">
        <f t="shared" si="4"/>
        <v>0</v>
      </c>
      <c r="AD10" s="4">
        <f t="shared" si="4"/>
        <v>0</v>
      </c>
      <c r="AE10" s="4">
        <f t="shared" si="4"/>
        <v>0</v>
      </c>
      <c r="AF10" s="4">
        <f t="shared" si="4"/>
        <v>0</v>
      </c>
      <c r="AG10" s="4">
        <f t="shared" si="4"/>
        <v>0</v>
      </c>
      <c r="AH10" s="4">
        <f t="shared" si="4"/>
        <v>0</v>
      </c>
      <c r="AI10" s="4">
        <f t="shared" si="4"/>
        <v>0</v>
      </c>
      <c r="AJ10" s="4">
        <f t="shared" si="4"/>
        <v>0</v>
      </c>
      <c r="AK10" s="145"/>
      <c r="AM10" s="53">
        <v>4</v>
      </c>
      <c r="AN10" s="108" t="s">
        <v>294</v>
      </c>
      <c r="AO10" s="108" t="s">
        <v>295</v>
      </c>
      <c r="AP10" s="108" t="s">
        <v>331</v>
      </c>
      <c r="AQ10" s="108" t="s">
        <v>332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</row>
    <row r="11" spans="1:68" x14ac:dyDescent="0.2">
      <c r="A11" s="114">
        <f t="shared" si="0"/>
        <v>4</v>
      </c>
      <c r="B11" s="129">
        <f t="shared" si="1"/>
        <v>0</v>
      </c>
      <c r="C11" s="111" t="str">
        <f t="shared" si="2"/>
        <v>ARSENIUS DAVIN</v>
      </c>
      <c r="D11" s="168"/>
      <c r="E11" s="168"/>
      <c r="F11" s="168"/>
      <c r="G11" s="168"/>
      <c r="H11" s="168"/>
      <c r="I11" s="168"/>
      <c r="J11" s="168"/>
      <c r="K11" s="168"/>
      <c r="L11" s="168"/>
      <c r="M11" s="112"/>
      <c r="N11" s="168"/>
      <c r="O11" s="168"/>
      <c r="P11" s="168"/>
      <c r="Q11" s="168"/>
      <c r="R11" s="138" t="str">
        <f t="shared" si="5"/>
        <v xml:space="preserve"> </v>
      </c>
      <c r="S11" s="116" t="str">
        <f t="shared" si="6"/>
        <v xml:space="preserve"> </v>
      </c>
      <c r="T11" s="116" t="str">
        <f t="shared" si="3"/>
        <v xml:space="preserve"> </v>
      </c>
      <c r="U11" s="4" t="str">
        <f t="shared" si="7"/>
        <v xml:space="preserve"> </v>
      </c>
      <c r="V11" s="145"/>
      <c r="W11" s="4">
        <f t="shared" si="8"/>
        <v>0</v>
      </c>
      <c r="X11" s="4">
        <f t="shared" si="4"/>
        <v>0</v>
      </c>
      <c r="Y11" s="4">
        <f t="shared" si="4"/>
        <v>0</v>
      </c>
      <c r="Z11" s="4">
        <f t="shared" si="4"/>
        <v>0</v>
      </c>
      <c r="AA11" s="4">
        <f t="shared" si="4"/>
        <v>0</v>
      </c>
      <c r="AB11" s="4">
        <f t="shared" si="4"/>
        <v>0</v>
      </c>
      <c r="AC11" s="4">
        <f t="shared" si="4"/>
        <v>0</v>
      </c>
      <c r="AD11" s="4">
        <f t="shared" si="4"/>
        <v>0</v>
      </c>
      <c r="AE11" s="4">
        <f t="shared" si="4"/>
        <v>0</v>
      </c>
      <c r="AF11" s="4">
        <f t="shared" si="4"/>
        <v>0</v>
      </c>
      <c r="AG11" s="4">
        <f t="shared" si="4"/>
        <v>0</v>
      </c>
      <c r="AH11" s="4">
        <f t="shared" si="4"/>
        <v>0</v>
      </c>
      <c r="AI11" s="4">
        <f t="shared" si="4"/>
        <v>0</v>
      </c>
      <c r="AJ11" s="4">
        <f t="shared" si="4"/>
        <v>0</v>
      </c>
      <c r="AK11" s="145"/>
      <c r="AM11" s="53">
        <v>5</v>
      </c>
      <c r="AN11" s="108" t="s">
        <v>296</v>
      </c>
      <c r="AO11" s="108" t="s">
        <v>297</v>
      </c>
      <c r="AP11" s="108" t="s">
        <v>333</v>
      </c>
      <c r="AQ11" s="108" t="s">
        <v>334</v>
      </c>
      <c r="AR11" s="108"/>
      <c r="AS11" s="108"/>
      <c r="AT11" s="108"/>
      <c r="AU11" s="108"/>
      <c r="AV11" s="108"/>
      <c r="AW11" s="108"/>
      <c r="AX11" s="108"/>
      <c r="AY11" s="108"/>
      <c r="AZ11" s="108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</row>
    <row r="12" spans="1:68" x14ac:dyDescent="0.2">
      <c r="A12" s="114">
        <f t="shared" si="0"/>
        <v>5</v>
      </c>
      <c r="B12" s="129">
        <f t="shared" si="1"/>
        <v>0</v>
      </c>
      <c r="C12" s="111" t="str">
        <f t="shared" si="2"/>
        <v>BENEDICTUS LEONARDUS TAMIN</v>
      </c>
      <c r="D12" s="168"/>
      <c r="E12" s="168"/>
      <c r="F12" s="168"/>
      <c r="G12" s="168"/>
      <c r="H12" s="168"/>
      <c r="I12" s="168"/>
      <c r="J12" s="168"/>
      <c r="K12" s="168"/>
      <c r="L12" s="168"/>
      <c r="M12" s="112"/>
      <c r="N12" s="168"/>
      <c r="O12" s="168"/>
      <c r="P12" s="168"/>
      <c r="Q12" s="168"/>
      <c r="R12" s="138" t="str">
        <f t="shared" si="5"/>
        <v xml:space="preserve"> </v>
      </c>
      <c r="S12" s="116" t="str">
        <f t="shared" si="6"/>
        <v xml:space="preserve"> </v>
      </c>
      <c r="T12" s="116" t="str">
        <f t="shared" si="3"/>
        <v xml:space="preserve"> </v>
      </c>
      <c r="U12" s="4" t="str">
        <f t="shared" si="7"/>
        <v xml:space="preserve"> </v>
      </c>
      <c r="V12" s="145"/>
      <c r="W12" s="4">
        <f t="shared" si="8"/>
        <v>0</v>
      </c>
      <c r="X12" s="4">
        <f t="shared" si="4"/>
        <v>0</v>
      </c>
      <c r="Y12" s="4">
        <f t="shared" si="4"/>
        <v>0</v>
      </c>
      <c r="Z12" s="4">
        <f t="shared" si="4"/>
        <v>0</v>
      </c>
      <c r="AA12" s="4">
        <f t="shared" si="4"/>
        <v>0</v>
      </c>
      <c r="AB12" s="4">
        <f t="shared" si="4"/>
        <v>0</v>
      </c>
      <c r="AC12" s="4">
        <f t="shared" si="4"/>
        <v>0</v>
      </c>
      <c r="AD12" s="4">
        <f t="shared" si="4"/>
        <v>0</v>
      </c>
      <c r="AE12" s="4">
        <f t="shared" si="4"/>
        <v>0</v>
      </c>
      <c r="AF12" s="4">
        <f t="shared" si="4"/>
        <v>0</v>
      </c>
      <c r="AG12" s="4">
        <f t="shared" si="4"/>
        <v>0</v>
      </c>
      <c r="AH12" s="4">
        <f t="shared" si="4"/>
        <v>0</v>
      </c>
      <c r="AI12" s="4">
        <f t="shared" si="4"/>
        <v>0</v>
      </c>
      <c r="AJ12" s="4">
        <f t="shared" si="4"/>
        <v>0</v>
      </c>
      <c r="AK12" s="145"/>
      <c r="AM12" s="53">
        <v>6</v>
      </c>
      <c r="AN12" s="108" t="s">
        <v>298</v>
      </c>
      <c r="AO12" s="108" t="s">
        <v>299</v>
      </c>
      <c r="AP12" s="108" t="s">
        <v>335</v>
      </c>
      <c r="AQ12" s="108" t="s">
        <v>336</v>
      </c>
      <c r="AR12" s="108"/>
      <c r="AS12" s="108"/>
      <c r="AT12" s="108"/>
      <c r="AU12" s="108"/>
      <c r="AV12" s="108"/>
      <c r="AW12" s="108"/>
      <c r="AX12" s="108"/>
      <c r="AY12" s="108"/>
      <c r="AZ12" s="108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</row>
    <row r="13" spans="1:68" x14ac:dyDescent="0.2">
      <c r="A13" s="114">
        <f t="shared" si="0"/>
        <v>6</v>
      </c>
      <c r="B13" s="129">
        <f t="shared" si="1"/>
        <v>0</v>
      </c>
      <c r="C13" s="111" t="str">
        <f t="shared" si="2"/>
        <v>BRAZALI WIRANATA</v>
      </c>
      <c r="D13" s="168"/>
      <c r="E13" s="168"/>
      <c r="F13" s="168"/>
      <c r="G13" s="168"/>
      <c r="H13" s="168"/>
      <c r="I13" s="168"/>
      <c r="J13" s="168"/>
      <c r="K13" s="168"/>
      <c r="L13" s="168"/>
      <c r="M13" s="112"/>
      <c r="N13" s="168"/>
      <c r="O13" s="168"/>
      <c r="P13" s="168"/>
      <c r="Q13" s="168"/>
      <c r="R13" s="138" t="str">
        <f t="shared" si="5"/>
        <v xml:space="preserve"> </v>
      </c>
      <c r="S13" s="116" t="str">
        <f t="shared" si="6"/>
        <v xml:space="preserve"> </v>
      </c>
      <c r="T13" s="116" t="str">
        <f t="shared" si="3"/>
        <v xml:space="preserve"> </v>
      </c>
      <c r="U13" s="4" t="str">
        <f t="shared" si="7"/>
        <v xml:space="preserve"> </v>
      </c>
      <c r="V13" s="145"/>
      <c r="W13" s="4">
        <f t="shared" si="8"/>
        <v>0</v>
      </c>
      <c r="X13" s="4">
        <f t="shared" si="4"/>
        <v>0</v>
      </c>
      <c r="Y13" s="4">
        <f t="shared" si="4"/>
        <v>0</v>
      </c>
      <c r="Z13" s="4">
        <f t="shared" si="4"/>
        <v>0</v>
      </c>
      <c r="AA13" s="4">
        <f t="shared" si="4"/>
        <v>0</v>
      </c>
      <c r="AB13" s="4">
        <f t="shared" si="4"/>
        <v>0</v>
      </c>
      <c r="AC13" s="4">
        <f t="shared" si="4"/>
        <v>0</v>
      </c>
      <c r="AD13" s="4">
        <f t="shared" si="4"/>
        <v>0</v>
      </c>
      <c r="AE13" s="4">
        <f t="shared" si="4"/>
        <v>0</v>
      </c>
      <c r="AF13" s="4">
        <f t="shared" si="4"/>
        <v>0</v>
      </c>
      <c r="AG13" s="4">
        <f t="shared" si="4"/>
        <v>0</v>
      </c>
      <c r="AH13" s="4">
        <f t="shared" si="4"/>
        <v>0</v>
      </c>
      <c r="AI13" s="4">
        <f t="shared" si="4"/>
        <v>0</v>
      </c>
      <c r="AJ13" s="4">
        <f t="shared" si="4"/>
        <v>0</v>
      </c>
      <c r="AK13" s="145"/>
      <c r="AM13" s="53">
        <v>7</v>
      </c>
      <c r="AN13" s="108" t="s">
        <v>300</v>
      </c>
      <c r="AO13" s="108" t="s">
        <v>301</v>
      </c>
      <c r="AP13" s="108" t="s">
        <v>337</v>
      </c>
      <c r="AQ13" s="108" t="s">
        <v>338</v>
      </c>
      <c r="AR13" s="108"/>
      <c r="AS13" s="108"/>
      <c r="AT13" s="108"/>
      <c r="AU13" s="108"/>
      <c r="AV13" s="108"/>
      <c r="AW13" s="108"/>
      <c r="AX13" s="108"/>
      <c r="AY13" s="108"/>
      <c r="AZ13" s="108"/>
      <c r="BC13" s="105"/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</row>
    <row r="14" spans="1:68" x14ac:dyDescent="0.2">
      <c r="A14" s="114">
        <f t="shared" si="0"/>
        <v>7</v>
      </c>
      <c r="B14" s="129">
        <f t="shared" si="1"/>
        <v>0</v>
      </c>
      <c r="C14" s="111" t="str">
        <f t="shared" si="2"/>
        <v>CHRISTOPHER</v>
      </c>
      <c r="D14" s="168"/>
      <c r="E14" s="168"/>
      <c r="F14" s="168"/>
      <c r="G14" s="168"/>
      <c r="H14" s="168"/>
      <c r="I14" s="168"/>
      <c r="J14" s="168"/>
      <c r="K14" s="168"/>
      <c r="L14" s="168"/>
      <c r="M14" s="112"/>
      <c r="N14" s="168"/>
      <c r="O14" s="168"/>
      <c r="P14" s="168"/>
      <c r="Q14" s="168"/>
      <c r="R14" s="138" t="str">
        <f t="shared" si="5"/>
        <v xml:space="preserve"> </v>
      </c>
      <c r="S14" s="116" t="str">
        <f t="shared" si="6"/>
        <v xml:space="preserve"> </v>
      </c>
      <c r="T14" s="116" t="str">
        <f t="shared" si="3"/>
        <v xml:space="preserve"> </v>
      </c>
      <c r="U14" s="4" t="str">
        <f t="shared" si="7"/>
        <v xml:space="preserve"> </v>
      </c>
      <c r="V14" s="145"/>
      <c r="W14" s="4">
        <f t="shared" si="8"/>
        <v>0</v>
      </c>
      <c r="X14" s="4">
        <f t="shared" si="4"/>
        <v>0</v>
      </c>
      <c r="Y14" s="4">
        <f t="shared" si="4"/>
        <v>0</v>
      </c>
      <c r="Z14" s="4">
        <f t="shared" si="4"/>
        <v>0</v>
      </c>
      <c r="AA14" s="4">
        <f t="shared" si="4"/>
        <v>0</v>
      </c>
      <c r="AB14" s="4">
        <f t="shared" si="4"/>
        <v>0</v>
      </c>
      <c r="AC14" s="4">
        <f t="shared" si="4"/>
        <v>0</v>
      </c>
      <c r="AD14" s="4">
        <f t="shared" si="4"/>
        <v>0</v>
      </c>
      <c r="AE14" s="4">
        <f t="shared" si="4"/>
        <v>0</v>
      </c>
      <c r="AF14" s="4">
        <f t="shared" si="4"/>
        <v>0</v>
      </c>
      <c r="AG14" s="4">
        <f t="shared" si="4"/>
        <v>0</v>
      </c>
      <c r="AH14" s="4">
        <f t="shared" si="4"/>
        <v>0</v>
      </c>
      <c r="AI14" s="4">
        <f t="shared" si="4"/>
        <v>0</v>
      </c>
      <c r="AJ14" s="4">
        <f t="shared" si="4"/>
        <v>0</v>
      </c>
      <c r="AK14" s="145"/>
      <c r="AM14" s="53">
        <v>8</v>
      </c>
      <c r="AN14" s="108" t="s">
        <v>302</v>
      </c>
      <c r="AO14" s="108" t="s">
        <v>303</v>
      </c>
      <c r="AP14" s="108" t="s">
        <v>339</v>
      </c>
      <c r="AQ14" s="108" t="s">
        <v>340</v>
      </c>
      <c r="AR14" s="108"/>
      <c r="AS14" s="108"/>
      <c r="AT14" s="108"/>
      <c r="AU14" s="108"/>
      <c r="AV14" s="108"/>
      <c r="AW14" s="108"/>
      <c r="AX14" s="108"/>
      <c r="AY14" s="108"/>
      <c r="AZ14" s="108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</row>
    <row r="15" spans="1:68" x14ac:dyDescent="0.2">
      <c r="A15" s="114">
        <f t="shared" si="0"/>
        <v>8</v>
      </c>
      <c r="B15" s="129">
        <f t="shared" si="1"/>
        <v>0</v>
      </c>
      <c r="C15" s="111" t="str">
        <f t="shared" si="2"/>
        <v>GABRIELA ANSEL TJIPUTRA</v>
      </c>
      <c r="D15" s="168"/>
      <c r="E15" s="168"/>
      <c r="F15" s="168"/>
      <c r="G15" s="168"/>
      <c r="H15" s="168"/>
      <c r="I15" s="168"/>
      <c r="J15" s="168"/>
      <c r="K15" s="168"/>
      <c r="L15" s="168"/>
      <c r="M15" s="112"/>
      <c r="N15" s="168"/>
      <c r="O15" s="168"/>
      <c r="P15" s="168"/>
      <c r="Q15" s="168"/>
      <c r="R15" s="138" t="str">
        <f t="shared" si="5"/>
        <v xml:space="preserve"> </v>
      </c>
      <c r="S15" s="116" t="str">
        <f t="shared" si="6"/>
        <v xml:space="preserve"> </v>
      </c>
      <c r="T15" s="116" t="str">
        <f t="shared" si="3"/>
        <v xml:space="preserve"> </v>
      </c>
      <c r="U15" s="4" t="str">
        <f t="shared" si="7"/>
        <v xml:space="preserve"> </v>
      </c>
      <c r="V15" s="145"/>
      <c r="W15" s="4">
        <f t="shared" si="8"/>
        <v>0</v>
      </c>
      <c r="X15" s="4">
        <f t="shared" si="4"/>
        <v>0</v>
      </c>
      <c r="Y15" s="4">
        <f t="shared" si="4"/>
        <v>0</v>
      </c>
      <c r="Z15" s="4">
        <f t="shared" si="4"/>
        <v>0</v>
      </c>
      <c r="AA15" s="4">
        <f t="shared" si="4"/>
        <v>0</v>
      </c>
      <c r="AB15" s="4">
        <f t="shared" si="4"/>
        <v>0</v>
      </c>
      <c r="AC15" s="4">
        <f t="shared" si="4"/>
        <v>0</v>
      </c>
      <c r="AD15" s="4">
        <f t="shared" si="4"/>
        <v>0</v>
      </c>
      <c r="AE15" s="4">
        <f t="shared" si="4"/>
        <v>0</v>
      </c>
      <c r="AF15" s="4">
        <f t="shared" si="4"/>
        <v>0</v>
      </c>
      <c r="AG15" s="4">
        <f t="shared" si="4"/>
        <v>0</v>
      </c>
      <c r="AH15" s="4">
        <f t="shared" si="4"/>
        <v>0</v>
      </c>
      <c r="AI15" s="4">
        <f t="shared" si="4"/>
        <v>0</v>
      </c>
      <c r="AJ15" s="4">
        <f t="shared" si="4"/>
        <v>0</v>
      </c>
      <c r="AK15" s="145"/>
      <c r="AM15" s="53">
        <v>9</v>
      </c>
      <c r="AN15" s="108" t="s">
        <v>304</v>
      </c>
      <c r="AO15" s="108" t="s">
        <v>305</v>
      </c>
      <c r="AP15" s="108" t="s">
        <v>341</v>
      </c>
      <c r="AQ15" s="108" t="s">
        <v>344</v>
      </c>
      <c r="AR15" s="108"/>
      <c r="AS15" s="108"/>
      <c r="AT15" s="108"/>
      <c r="AU15" s="108"/>
      <c r="AV15" s="108"/>
      <c r="AW15" s="108"/>
      <c r="AX15" s="108"/>
      <c r="AY15" s="108"/>
      <c r="AZ15" s="108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</row>
    <row r="16" spans="1:68" x14ac:dyDescent="0.2">
      <c r="A16" s="114">
        <f t="shared" si="0"/>
        <v>9</v>
      </c>
      <c r="B16" s="129">
        <f t="shared" si="1"/>
        <v>0</v>
      </c>
      <c r="C16" s="111" t="str">
        <f t="shared" si="2"/>
        <v>GERHARD LUKITA</v>
      </c>
      <c r="D16" s="168"/>
      <c r="E16" s="168"/>
      <c r="F16" s="168"/>
      <c r="G16" s="168"/>
      <c r="H16" s="168"/>
      <c r="I16" s="168"/>
      <c r="J16" s="168"/>
      <c r="K16" s="168"/>
      <c r="L16" s="168"/>
      <c r="M16" s="112"/>
      <c r="N16" s="168"/>
      <c r="O16" s="168"/>
      <c r="P16" s="168"/>
      <c r="Q16" s="168"/>
      <c r="R16" s="138" t="str">
        <f t="shared" si="5"/>
        <v xml:space="preserve"> </v>
      </c>
      <c r="S16" s="116" t="str">
        <f t="shared" si="6"/>
        <v xml:space="preserve"> </v>
      </c>
      <c r="T16" s="116" t="str">
        <f t="shared" si="3"/>
        <v xml:space="preserve"> </v>
      </c>
      <c r="U16" s="4" t="str">
        <f t="shared" si="7"/>
        <v xml:space="preserve"> </v>
      </c>
      <c r="V16" s="145"/>
      <c r="W16" s="4">
        <f t="shared" si="8"/>
        <v>0</v>
      </c>
      <c r="X16" s="4">
        <f t="shared" si="4"/>
        <v>0</v>
      </c>
      <c r="Y16" s="4">
        <f t="shared" si="4"/>
        <v>0</v>
      </c>
      <c r="Z16" s="4">
        <f t="shared" si="4"/>
        <v>0</v>
      </c>
      <c r="AA16" s="4">
        <f t="shared" si="4"/>
        <v>0</v>
      </c>
      <c r="AB16" s="4">
        <f t="shared" si="4"/>
        <v>0</v>
      </c>
      <c r="AC16" s="4">
        <f t="shared" si="4"/>
        <v>0</v>
      </c>
      <c r="AD16" s="4">
        <f t="shared" si="4"/>
        <v>0</v>
      </c>
      <c r="AE16" s="4">
        <f t="shared" si="4"/>
        <v>0</v>
      </c>
      <c r="AF16" s="4">
        <f t="shared" si="4"/>
        <v>0</v>
      </c>
      <c r="AG16" s="4">
        <f t="shared" si="4"/>
        <v>0</v>
      </c>
      <c r="AH16" s="4">
        <f t="shared" si="4"/>
        <v>0</v>
      </c>
      <c r="AI16" s="4">
        <f t="shared" si="4"/>
        <v>0</v>
      </c>
      <c r="AJ16" s="4">
        <f t="shared" si="4"/>
        <v>0</v>
      </c>
      <c r="AK16" s="145"/>
      <c r="AM16" s="53">
        <v>10</v>
      </c>
      <c r="AN16" s="108" t="s">
        <v>306</v>
      </c>
      <c r="AO16" s="108" t="s">
        <v>307</v>
      </c>
      <c r="AP16" s="108" t="s">
        <v>342</v>
      </c>
      <c r="AQ16" s="108" t="s">
        <v>346</v>
      </c>
      <c r="AR16" s="108"/>
      <c r="AS16" s="108"/>
      <c r="AT16" s="108"/>
      <c r="AU16" s="108"/>
      <c r="AV16" s="108"/>
      <c r="AW16" s="108"/>
      <c r="AX16" s="108"/>
      <c r="AY16" s="108"/>
      <c r="AZ16" s="108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</row>
    <row r="17" spans="1:67" x14ac:dyDescent="0.2">
      <c r="A17" s="114">
        <f t="shared" si="0"/>
        <v>10</v>
      </c>
      <c r="B17" s="129">
        <f t="shared" si="1"/>
        <v>0</v>
      </c>
      <c r="C17" s="111" t="str">
        <f t="shared" si="2"/>
        <v>JESSICA CLARABELLA CHRISTIANNA</v>
      </c>
      <c r="D17" s="168"/>
      <c r="E17" s="168"/>
      <c r="F17" s="168"/>
      <c r="G17" s="168"/>
      <c r="H17" s="168"/>
      <c r="I17" s="168"/>
      <c r="J17" s="168"/>
      <c r="K17" s="168"/>
      <c r="L17" s="168"/>
      <c r="M17" s="112"/>
      <c r="N17" s="168"/>
      <c r="O17" s="168"/>
      <c r="P17" s="168"/>
      <c r="Q17" s="168"/>
      <c r="R17" s="138" t="str">
        <f t="shared" si="5"/>
        <v xml:space="preserve"> </v>
      </c>
      <c r="S17" s="116" t="str">
        <f t="shared" si="6"/>
        <v xml:space="preserve"> </v>
      </c>
      <c r="T17" s="116" t="str">
        <f t="shared" si="3"/>
        <v xml:space="preserve"> </v>
      </c>
      <c r="U17" s="4" t="str">
        <f t="shared" si="7"/>
        <v xml:space="preserve"> </v>
      </c>
      <c r="V17" s="145"/>
      <c r="W17" s="4">
        <f t="shared" si="8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  <c r="AA17" s="4">
        <f t="shared" si="4"/>
        <v>0</v>
      </c>
      <c r="AB17" s="4">
        <f t="shared" si="4"/>
        <v>0</v>
      </c>
      <c r="AC17" s="4">
        <f t="shared" si="4"/>
        <v>0</v>
      </c>
      <c r="AD17" s="4">
        <f t="shared" si="4"/>
        <v>0</v>
      </c>
      <c r="AE17" s="4">
        <f t="shared" si="4"/>
        <v>0</v>
      </c>
      <c r="AF17" s="4">
        <f t="shared" si="4"/>
        <v>0</v>
      </c>
      <c r="AG17" s="4">
        <f t="shared" si="4"/>
        <v>0</v>
      </c>
      <c r="AH17" s="4">
        <f t="shared" si="4"/>
        <v>0</v>
      </c>
      <c r="AI17" s="4">
        <f t="shared" si="4"/>
        <v>0</v>
      </c>
      <c r="AJ17" s="4">
        <f t="shared" si="4"/>
        <v>0</v>
      </c>
      <c r="AK17" s="145"/>
      <c r="AM17" s="53">
        <v>11</v>
      </c>
      <c r="AN17" s="108" t="s">
        <v>308</v>
      </c>
      <c r="AO17" s="108" t="s">
        <v>309</v>
      </c>
      <c r="AP17" s="108" t="s">
        <v>343</v>
      </c>
      <c r="AQ17" s="108" t="s">
        <v>348</v>
      </c>
      <c r="AR17" s="108"/>
      <c r="AS17" s="108"/>
      <c r="AT17" s="108"/>
      <c r="AU17" s="108"/>
      <c r="AV17" s="108"/>
      <c r="AW17" s="108"/>
      <c r="AX17" s="108"/>
      <c r="AY17" s="108"/>
      <c r="AZ17" s="108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</row>
    <row r="18" spans="1:67" x14ac:dyDescent="0.2">
      <c r="A18" s="114">
        <f t="shared" si="0"/>
        <v>11</v>
      </c>
      <c r="B18" s="129">
        <f t="shared" si="1"/>
        <v>0</v>
      </c>
      <c r="C18" s="111" t="str">
        <f t="shared" si="2"/>
        <v>JEREMY HARIMAUWAN</v>
      </c>
      <c r="D18" s="168"/>
      <c r="E18" s="168"/>
      <c r="F18" s="168"/>
      <c r="G18" s="168"/>
      <c r="H18" s="168"/>
      <c r="I18" s="168"/>
      <c r="J18" s="168"/>
      <c r="K18" s="168"/>
      <c r="L18" s="168"/>
      <c r="M18" s="112"/>
      <c r="N18" s="168"/>
      <c r="O18" s="168"/>
      <c r="P18" s="168"/>
      <c r="Q18" s="168"/>
      <c r="R18" s="138" t="str">
        <f t="shared" si="5"/>
        <v xml:space="preserve"> </v>
      </c>
      <c r="S18" s="116" t="str">
        <f t="shared" si="6"/>
        <v xml:space="preserve"> </v>
      </c>
      <c r="T18" s="116" t="str">
        <f t="shared" si="3"/>
        <v xml:space="preserve"> </v>
      </c>
      <c r="U18" s="4" t="str">
        <f t="shared" si="7"/>
        <v xml:space="preserve"> </v>
      </c>
      <c r="V18" s="145"/>
      <c r="W18" s="4">
        <f t="shared" si="8"/>
        <v>0</v>
      </c>
      <c r="X18" s="4">
        <f t="shared" si="4"/>
        <v>0</v>
      </c>
      <c r="Y18" s="4">
        <f t="shared" si="4"/>
        <v>0</v>
      </c>
      <c r="Z18" s="4">
        <f t="shared" si="4"/>
        <v>0</v>
      </c>
      <c r="AA18" s="4">
        <f t="shared" si="4"/>
        <v>0</v>
      </c>
      <c r="AB18" s="4">
        <f t="shared" si="4"/>
        <v>0</v>
      </c>
      <c r="AC18" s="4">
        <f t="shared" si="4"/>
        <v>0</v>
      </c>
      <c r="AD18" s="4">
        <f t="shared" si="4"/>
        <v>0</v>
      </c>
      <c r="AE18" s="4">
        <f t="shared" si="4"/>
        <v>0</v>
      </c>
      <c r="AF18" s="4">
        <f t="shared" si="4"/>
        <v>0</v>
      </c>
      <c r="AG18" s="4">
        <f t="shared" si="4"/>
        <v>0</v>
      </c>
      <c r="AH18" s="4">
        <f t="shared" si="4"/>
        <v>0</v>
      </c>
      <c r="AI18" s="4">
        <f t="shared" si="4"/>
        <v>0</v>
      </c>
      <c r="AJ18" s="4">
        <f t="shared" si="4"/>
        <v>0</v>
      </c>
      <c r="AK18" s="145"/>
      <c r="AM18" s="53">
        <v>12</v>
      </c>
      <c r="AN18" s="108" t="s">
        <v>310</v>
      </c>
      <c r="AO18" s="108" t="s">
        <v>311</v>
      </c>
      <c r="AP18" s="108" t="s">
        <v>345</v>
      </c>
      <c r="AQ18" s="108" t="s">
        <v>350</v>
      </c>
      <c r="AR18" s="108"/>
      <c r="AS18" s="109"/>
      <c r="AT18" s="108"/>
      <c r="AU18" s="108"/>
      <c r="AV18" s="108"/>
      <c r="AW18" s="108"/>
      <c r="AX18" s="108"/>
      <c r="AY18" s="108"/>
      <c r="AZ18" s="108"/>
      <c r="BC18" s="105"/>
      <c r="BD18" s="105"/>
      <c r="BE18" s="105"/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</row>
    <row r="19" spans="1:67" x14ac:dyDescent="0.2">
      <c r="A19" s="114">
        <f t="shared" si="0"/>
        <v>12</v>
      </c>
      <c r="B19" s="129">
        <f t="shared" si="1"/>
        <v>0</v>
      </c>
      <c r="C19" s="111" t="str">
        <f t="shared" si="2"/>
        <v>JOVANKA MAUREEN</v>
      </c>
      <c r="D19" s="168"/>
      <c r="E19" s="168"/>
      <c r="F19" s="168"/>
      <c r="G19" s="168"/>
      <c r="H19" s="168"/>
      <c r="I19" s="168"/>
      <c r="J19" s="168"/>
      <c r="K19" s="168"/>
      <c r="L19" s="168"/>
      <c r="M19" s="112"/>
      <c r="N19" s="168"/>
      <c r="O19" s="168"/>
      <c r="P19" s="168"/>
      <c r="Q19" s="168"/>
      <c r="R19" s="138" t="str">
        <f t="shared" si="5"/>
        <v xml:space="preserve"> </v>
      </c>
      <c r="S19" s="116" t="str">
        <f t="shared" si="6"/>
        <v xml:space="preserve"> </v>
      </c>
      <c r="T19" s="116" t="str">
        <f t="shared" si="3"/>
        <v xml:space="preserve"> </v>
      </c>
      <c r="U19" s="4" t="str">
        <f t="shared" si="7"/>
        <v xml:space="preserve"> </v>
      </c>
      <c r="V19" s="145"/>
      <c r="W19" s="4">
        <f t="shared" si="8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4">
        <f t="shared" si="4"/>
        <v>0</v>
      </c>
      <c r="AB19" s="4">
        <f t="shared" si="4"/>
        <v>0</v>
      </c>
      <c r="AC19" s="4">
        <f t="shared" si="4"/>
        <v>0</v>
      </c>
      <c r="AD19" s="4">
        <f t="shared" si="4"/>
        <v>0</v>
      </c>
      <c r="AE19" s="4">
        <f t="shared" si="4"/>
        <v>0</v>
      </c>
      <c r="AF19" s="4">
        <f t="shared" si="4"/>
        <v>0</v>
      </c>
      <c r="AG19" s="4">
        <f t="shared" si="4"/>
        <v>0</v>
      </c>
      <c r="AH19" s="4">
        <f t="shared" si="4"/>
        <v>0</v>
      </c>
      <c r="AI19" s="4">
        <f t="shared" si="4"/>
        <v>0</v>
      </c>
      <c r="AJ19" s="4">
        <f t="shared" si="4"/>
        <v>0</v>
      </c>
      <c r="AK19" s="145"/>
      <c r="AM19" s="53">
        <v>13</v>
      </c>
      <c r="AN19" s="108" t="s">
        <v>312</v>
      </c>
      <c r="AO19" s="108" t="s">
        <v>313</v>
      </c>
      <c r="AP19" s="108" t="s">
        <v>347</v>
      </c>
      <c r="AQ19" s="108" t="s">
        <v>352</v>
      </c>
      <c r="AR19" s="108"/>
      <c r="AS19" s="108"/>
      <c r="AT19" s="108"/>
      <c r="AU19" s="108"/>
      <c r="AV19" s="108"/>
      <c r="AW19" s="108"/>
      <c r="AX19" s="108"/>
      <c r="AY19" s="108"/>
      <c r="AZ19" s="108"/>
      <c r="BC19" s="105"/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</row>
    <row r="20" spans="1:67" x14ac:dyDescent="0.2">
      <c r="A20" s="114">
        <f t="shared" si="0"/>
        <v>13</v>
      </c>
      <c r="B20" s="129">
        <f t="shared" si="1"/>
        <v>0</v>
      </c>
      <c r="C20" s="111" t="str">
        <f t="shared" si="2"/>
        <v>JUAN NATANIEL FERDIAN</v>
      </c>
      <c r="D20" s="168"/>
      <c r="E20" s="168"/>
      <c r="F20" s="168"/>
      <c r="G20" s="168"/>
      <c r="H20" s="168"/>
      <c r="I20" s="168"/>
      <c r="J20" s="168"/>
      <c r="K20" s="168"/>
      <c r="L20" s="168"/>
      <c r="M20" s="112"/>
      <c r="N20" s="168"/>
      <c r="O20" s="168"/>
      <c r="P20" s="168"/>
      <c r="Q20" s="168"/>
      <c r="R20" s="138" t="str">
        <f t="shared" si="5"/>
        <v xml:space="preserve"> </v>
      </c>
      <c r="S20" s="116" t="str">
        <f t="shared" si="6"/>
        <v xml:space="preserve"> </v>
      </c>
      <c r="T20" s="116" t="str">
        <f t="shared" si="3"/>
        <v xml:space="preserve"> </v>
      </c>
      <c r="U20" s="4" t="str">
        <f t="shared" si="7"/>
        <v xml:space="preserve"> </v>
      </c>
      <c r="V20" s="145"/>
      <c r="W20" s="4">
        <f t="shared" si="8"/>
        <v>0</v>
      </c>
      <c r="X20" s="4">
        <f t="shared" si="4"/>
        <v>0</v>
      </c>
      <c r="Y20" s="4">
        <f t="shared" si="4"/>
        <v>0</v>
      </c>
      <c r="Z20" s="4">
        <f t="shared" si="4"/>
        <v>0</v>
      </c>
      <c r="AA20" s="4">
        <f t="shared" si="4"/>
        <v>0</v>
      </c>
      <c r="AB20" s="4">
        <f t="shared" si="4"/>
        <v>0</v>
      </c>
      <c r="AC20" s="4">
        <f t="shared" si="4"/>
        <v>0</v>
      </c>
      <c r="AD20" s="4">
        <f t="shared" si="4"/>
        <v>0</v>
      </c>
      <c r="AE20" s="4">
        <f t="shared" si="4"/>
        <v>0</v>
      </c>
      <c r="AF20" s="4">
        <f t="shared" si="4"/>
        <v>0</v>
      </c>
      <c r="AG20" s="4">
        <f t="shared" si="4"/>
        <v>0</v>
      </c>
      <c r="AH20" s="4">
        <f t="shared" si="4"/>
        <v>0</v>
      </c>
      <c r="AI20" s="4">
        <f t="shared" si="4"/>
        <v>0</v>
      </c>
      <c r="AJ20" s="4">
        <f t="shared" si="4"/>
        <v>0</v>
      </c>
      <c r="AK20" s="145"/>
      <c r="AM20" s="53">
        <v>14</v>
      </c>
      <c r="AN20" s="108" t="s">
        <v>314</v>
      </c>
      <c r="AO20" s="108" t="s">
        <v>315</v>
      </c>
      <c r="AP20" s="108" t="s">
        <v>349</v>
      </c>
      <c r="AQ20" s="108" t="s">
        <v>354</v>
      </c>
      <c r="AR20" s="108"/>
      <c r="AS20" s="108"/>
      <c r="AT20" s="108"/>
      <c r="AU20" s="108"/>
      <c r="AV20" s="108"/>
      <c r="AW20" s="108"/>
      <c r="AX20" s="108"/>
      <c r="AY20" s="108"/>
      <c r="AZ20" s="108"/>
      <c r="BC20" s="105"/>
      <c r="BD20" s="105"/>
      <c r="BE20" s="105"/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</row>
    <row r="21" spans="1:67" x14ac:dyDescent="0.2">
      <c r="A21" s="114">
        <f t="shared" si="0"/>
        <v>14</v>
      </c>
      <c r="B21" s="129">
        <f t="shared" si="1"/>
        <v>0</v>
      </c>
      <c r="C21" s="111" t="str">
        <f t="shared" si="2"/>
        <v>LIONY NATALIA</v>
      </c>
      <c r="D21" s="168"/>
      <c r="E21" s="168"/>
      <c r="F21" s="168"/>
      <c r="G21" s="168"/>
      <c r="H21" s="168"/>
      <c r="I21" s="168"/>
      <c r="J21" s="168"/>
      <c r="K21" s="168"/>
      <c r="L21" s="168"/>
      <c r="M21" s="112"/>
      <c r="N21" s="168"/>
      <c r="O21" s="168"/>
      <c r="P21" s="168"/>
      <c r="Q21" s="168"/>
      <c r="R21" s="138" t="str">
        <f t="shared" si="5"/>
        <v xml:space="preserve"> </v>
      </c>
      <c r="S21" s="116" t="str">
        <f t="shared" si="6"/>
        <v xml:space="preserve"> </v>
      </c>
      <c r="T21" s="116" t="str">
        <f t="shared" si="3"/>
        <v xml:space="preserve"> </v>
      </c>
      <c r="U21" s="4" t="str">
        <f t="shared" si="7"/>
        <v xml:space="preserve"> </v>
      </c>
      <c r="V21" s="145"/>
      <c r="W21" s="4">
        <f t="shared" si="8"/>
        <v>0</v>
      </c>
      <c r="X21" s="4">
        <f t="shared" si="4"/>
        <v>0</v>
      </c>
      <c r="Y21" s="4">
        <f t="shared" si="4"/>
        <v>0</v>
      </c>
      <c r="Z21" s="4">
        <f t="shared" si="4"/>
        <v>0</v>
      </c>
      <c r="AA21" s="4">
        <f t="shared" si="4"/>
        <v>0</v>
      </c>
      <c r="AB21" s="4">
        <f t="shared" si="4"/>
        <v>0</v>
      </c>
      <c r="AC21" s="4">
        <f t="shared" si="4"/>
        <v>0</v>
      </c>
      <c r="AD21" s="4">
        <f t="shared" si="4"/>
        <v>0</v>
      </c>
      <c r="AE21" s="4">
        <f t="shared" si="4"/>
        <v>0</v>
      </c>
      <c r="AF21" s="4">
        <f t="shared" si="4"/>
        <v>0</v>
      </c>
      <c r="AG21" s="4">
        <f t="shared" si="4"/>
        <v>0</v>
      </c>
      <c r="AH21" s="4">
        <f t="shared" si="4"/>
        <v>0</v>
      </c>
      <c r="AI21" s="4">
        <f t="shared" si="4"/>
        <v>0</v>
      </c>
      <c r="AJ21" s="4">
        <f t="shared" si="4"/>
        <v>0</v>
      </c>
      <c r="AK21" s="145"/>
      <c r="AM21" s="53">
        <v>15</v>
      </c>
      <c r="AN21" s="108" t="s">
        <v>316</v>
      </c>
      <c r="AO21" s="108" t="s">
        <v>317</v>
      </c>
      <c r="AP21" s="108" t="s">
        <v>351</v>
      </c>
      <c r="AQ21" s="108" t="s">
        <v>356</v>
      </c>
      <c r="AR21" s="108"/>
      <c r="AS21" s="108"/>
      <c r="AT21" s="108"/>
      <c r="AU21" s="108"/>
      <c r="AV21" s="108"/>
      <c r="AW21" s="108"/>
      <c r="AX21" s="108"/>
      <c r="AY21" s="108"/>
      <c r="AZ21" s="108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</row>
    <row r="22" spans="1:67" x14ac:dyDescent="0.2">
      <c r="A22" s="114">
        <f t="shared" si="0"/>
        <v>15</v>
      </c>
      <c r="B22" s="129">
        <f t="shared" si="1"/>
        <v>0</v>
      </c>
      <c r="C22" s="111" t="str">
        <f t="shared" si="2"/>
        <v>NICOLE FERNANDA ANTON</v>
      </c>
      <c r="D22" s="168"/>
      <c r="E22" s="168"/>
      <c r="F22" s="168"/>
      <c r="G22" s="168"/>
      <c r="H22" s="168"/>
      <c r="I22" s="168"/>
      <c r="J22" s="168"/>
      <c r="K22" s="168"/>
      <c r="L22" s="168"/>
      <c r="M22" s="112"/>
      <c r="N22" s="168"/>
      <c r="O22" s="168"/>
      <c r="P22" s="168"/>
      <c r="Q22" s="168"/>
      <c r="R22" s="138" t="str">
        <f t="shared" si="5"/>
        <v xml:space="preserve"> </v>
      </c>
      <c r="S22" s="116" t="str">
        <f t="shared" si="6"/>
        <v xml:space="preserve"> </v>
      </c>
      <c r="T22" s="116" t="str">
        <f t="shared" si="3"/>
        <v xml:space="preserve"> </v>
      </c>
      <c r="U22" s="4" t="str">
        <f t="shared" si="7"/>
        <v xml:space="preserve"> </v>
      </c>
      <c r="V22" s="145"/>
      <c r="W22" s="4">
        <f t="shared" si="8"/>
        <v>0</v>
      </c>
      <c r="X22" s="4">
        <f t="shared" si="4"/>
        <v>0</v>
      </c>
      <c r="Y22" s="4">
        <f t="shared" si="4"/>
        <v>0</v>
      </c>
      <c r="Z22" s="4">
        <f t="shared" si="4"/>
        <v>0</v>
      </c>
      <c r="AA22" s="4">
        <f t="shared" si="4"/>
        <v>0</v>
      </c>
      <c r="AB22" s="4">
        <f t="shared" si="4"/>
        <v>0</v>
      </c>
      <c r="AC22" s="4">
        <f t="shared" si="4"/>
        <v>0</v>
      </c>
      <c r="AD22" s="4">
        <f t="shared" si="4"/>
        <v>0</v>
      </c>
      <c r="AE22" s="4">
        <f t="shared" si="4"/>
        <v>0</v>
      </c>
      <c r="AF22" s="4">
        <f t="shared" si="4"/>
        <v>0</v>
      </c>
      <c r="AG22" s="4">
        <f t="shared" si="4"/>
        <v>0</v>
      </c>
      <c r="AH22" s="4">
        <f t="shared" si="4"/>
        <v>0</v>
      </c>
      <c r="AI22" s="4">
        <f t="shared" si="4"/>
        <v>0</v>
      </c>
      <c r="AJ22" s="4">
        <f t="shared" si="4"/>
        <v>0</v>
      </c>
      <c r="AK22" s="145"/>
      <c r="AM22" s="53">
        <v>16</v>
      </c>
      <c r="AN22" s="108" t="s">
        <v>318</v>
      </c>
      <c r="AO22" s="108" t="s">
        <v>319</v>
      </c>
      <c r="AP22" s="108" t="s">
        <v>353</v>
      </c>
      <c r="AQ22" s="108" t="s">
        <v>358</v>
      </c>
      <c r="AR22" s="108"/>
      <c r="AS22" s="108"/>
      <c r="AT22" s="108"/>
      <c r="AU22" s="108"/>
      <c r="AV22" s="108"/>
      <c r="AW22" s="108"/>
      <c r="AX22" s="108"/>
      <c r="AY22" s="108"/>
      <c r="AZ22" s="108"/>
      <c r="BC22" s="105"/>
      <c r="BD22" s="105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</row>
    <row r="23" spans="1:67" x14ac:dyDescent="0.2">
      <c r="A23" s="114">
        <f t="shared" si="0"/>
        <v>16</v>
      </c>
      <c r="B23" s="129">
        <f t="shared" si="1"/>
        <v>0</v>
      </c>
      <c r="C23" s="111" t="str">
        <f t="shared" si="2"/>
        <v>SAMUEL SABAHTANI</v>
      </c>
      <c r="D23" s="168"/>
      <c r="E23" s="168"/>
      <c r="F23" s="168"/>
      <c r="G23" s="168"/>
      <c r="H23" s="168"/>
      <c r="I23" s="168"/>
      <c r="J23" s="168"/>
      <c r="K23" s="168"/>
      <c r="L23" s="168"/>
      <c r="M23" s="112"/>
      <c r="N23" s="168"/>
      <c r="O23" s="168"/>
      <c r="P23" s="168"/>
      <c r="Q23" s="168"/>
      <c r="R23" s="138" t="str">
        <f t="shared" si="5"/>
        <v xml:space="preserve"> </v>
      </c>
      <c r="S23" s="116" t="str">
        <f t="shared" si="6"/>
        <v xml:space="preserve"> </v>
      </c>
      <c r="T23" s="116" t="str">
        <f t="shared" si="3"/>
        <v xml:space="preserve"> </v>
      </c>
      <c r="U23" s="4" t="str">
        <f t="shared" si="7"/>
        <v xml:space="preserve"> </v>
      </c>
      <c r="V23" s="145"/>
      <c r="W23" s="4">
        <f t="shared" si="8"/>
        <v>0</v>
      </c>
      <c r="X23" s="4">
        <f t="shared" si="4"/>
        <v>0</v>
      </c>
      <c r="Y23" s="4">
        <f t="shared" si="4"/>
        <v>0</v>
      </c>
      <c r="Z23" s="4">
        <f t="shared" si="4"/>
        <v>0</v>
      </c>
      <c r="AA23" s="4">
        <f t="shared" si="4"/>
        <v>0</v>
      </c>
      <c r="AB23" s="4">
        <f t="shared" si="4"/>
        <v>0</v>
      </c>
      <c r="AC23" s="4">
        <f t="shared" si="4"/>
        <v>0</v>
      </c>
      <c r="AD23" s="4">
        <f t="shared" si="4"/>
        <v>0</v>
      </c>
      <c r="AE23" s="4">
        <f t="shared" si="4"/>
        <v>0</v>
      </c>
      <c r="AF23" s="4">
        <f t="shared" si="4"/>
        <v>0</v>
      </c>
      <c r="AG23" s="4">
        <f t="shared" si="4"/>
        <v>0</v>
      </c>
      <c r="AH23" s="4">
        <f t="shared" si="4"/>
        <v>0</v>
      </c>
      <c r="AI23" s="4">
        <f t="shared" si="4"/>
        <v>0</v>
      </c>
      <c r="AJ23" s="4">
        <f t="shared" si="4"/>
        <v>0</v>
      </c>
      <c r="AK23" s="145"/>
      <c r="AM23" s="53">
        <v>17</v>
      </c>
      <c r="AN23" s="108" t="s">
        <v>320</v>
      </c>
      <c r="AO23" s="108" t="s">
        <v>321</v>
      </c>
      <c r="AP23" s="108" t="s">
        <v>355</v>
      </c>
      <c r="AQ23" s="108" t="s">
        <v>360</v>
      </c>
      <c r="AR23" s="108"/>
      <c r="AS23" s="108"/>
      <c r="AT23" s="108"/>
      <c r="AU23" s="108"/>
      <c r="AV23" s="108"/>
      <c r="AW23" s="108"/>
      <c r="AX23" s="108"/>
      <c r="AY23" s="108"/>
      <c r="AZ23" s="108"/>
      <c r="BC23" s="105"/>
      <c r="BD23" s="105"/>
      <c r="BE23" s="105"/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</row>
    <row r="24" spans="1:67" x14ac:dyDescent="0.2">
      <c r="A24" s="114">
        <f t="shared" si="0"/>
        <v>17</v>
      </c>
      <c r="B24" s="129">
        <f t="shared" si="1"/>
        <v>0</v>
      </c>
      <c r="C24" s="111" t="str">
        <f t="shared" si="2"/>
        <v>SUBHADRAWAN WILLIAM NATHAN</v>
      </c>
      <c r="D24" s="168"/>
      <c r="E24" s="168"/>
      <c r="F24" s="168"/>
      <c r="G24" s="168"/>
      <c r="H24" s="168"/>
      <c r="I24" s="168"/>
      <c r="J24" s="168"/>
      <c r="K24" s="168"/>
      <c r="L24" s="168"/>
      <c r="M24" s="112"/>
      <c r="N24" s="168"/>
      <c r="O24" s="168"/>
      <c r="P24" s="168"/>
      <c r="Q24" s="168"/>
      <c r="R24" s="138" t="str">
        <f t="shared" si="5"/>
        <v xml:space="preserve"> </v>
      </c>
      <c r="S24" s="116" t="str">
        <f t="shared" si="6"/>
        <v xml:space="preserve"> </v>
      </c>
      <c r="T24" s="116" t="str">
        <f t="shared" si="3"/>
        <v xml:space="preserve"> </v>
      </c>
      <c r="U24" s="4" t="str">
        <f t="shared" si="7"/>
        <v xml:space="preserve"> </v>
      </c>
      <c r="V24" s="145"/>
      <c r="W24" s="4">
        <f t="shared" si="8"/>
        <v>0</v>
      </c>
      <c r="X24" s="4">
        <f t="shared" ref="X24:X32" si="9">IF($A24=" "," ",IF(E24&lt;E$7,1,0))</f>
        <v>0</v>
      </c>
      <c r="Y24" s="4">
        <f t="shared" ref="Y24:Y32" si="10">IF($A24=" "," ",IF(F24&lt;F$7,1,0))</f>
        <v>0</v>
      </c>
      <c r="Z24" s="4">
        <f t="shared" ref="Z24:Z32" si="11">IF($A24=" "," ",IF(G24&lt;G$7,1,0))</f>
        <v>0</v>
      </c>
      <c r="AA24" s="4">
        <f t="shared" ref="AA24:AA32" si="12">IF($A24=" "," ",IF(H24&lt;H$7,1,0))</f>
        <v>0</v>
      </c>
      <c r="AB24" s="4">
        <f t="shared" ref="AB24:AB32" si="13">IF($A24=" "," ",IF(I24&lt;I$7,1,0))</f>
        <v>0</v>
      </c>
      <c r="AC24" s="4">
        <f t="shared" ref="AC24:AC32" si="14">IF($A24=" "," ",IF(J24&lt;J$7,1,0))</f>
        <v>0</v>
      </c>
      <c r="AD24" s="4">
        <f t="shared" ref="AD24:AD32" si="15">IF($A24=" "," ",IF(K24&lt;K$7,1,0))</f>
        <v>0</v>
      </c>
      <c r="AE24" s="4">
        <f t="shared" ref="AE24:AE32" si="16">IF($A24=" "," ",IF(L24&lt;L$7,1,0))</f>
        <v>0</v>
      </c>
      <c r="AF24" s="4">
        <f t="shared" ref="AF24:AF32" si="17">IF($A24=" "," ",IF(M24&lt;M$7,1,0))</f>
        <v>0</v>
      </c>
      <c r="AG24" s="4">
        <f t="shared" ref="AG24:AG32" si="18">IF($A24=" "," ",IF(N24&lt;N$7,1,0))</f>
        <v>0</v>
      </c>
      <c r="AH24" s="4">
        <f t="shared" ref="AH24:AH32" si="19">IF($A24=" "," ",IF(O24&lt;O$7,1,0))</f>
        <v>0</v>
      </c>
      <c r="AI24" s="4">
        <f t="shared" ref="AI24:AI32" si="20">IF($A24=" "," ",IF(P24&lt;P$7,1,0))</f>
        <v>0</v>
      </c>
      <c r="AJ24" s="4">
        <f t="shared" ref="AJ24:AJ32" si="21">IF($A24=" "," ",IF(Q24&lt;Q$7,1,0))</f>
        <v>0</v>
      </c>
      <c r="AK24" s="145"/>
      <c r="AM24" s="53">
        <v>18</v>
      </c>
      <c r="AN24" s="108" t="s">
        <v>322</v>
      </c>
      <c r="AO24" s="108" t="s">
        <v>323</v>
      </c>
      <c r="AP24" s="108" t="s">
        <v>357</v>
      </c>
      <c r="AQ24" s="108" t="s">
        <v>362</v>
      </c>
      <c r="AR24" s="108"/>
      <c r="AS24" s="108"/>
      <c r="AT24" s="108"/>
      <c r="AU24" s="108"/>
      <c r="AV24" s="108"/>
      <c r="AW24" s="108"/>
      <c r="AX24" s="108"/>
      <c r="AY24" s="108"/>
      <c r="AZ24" s="108"/>
      <c r="BC24" s="105"/>
      <c r="BD24" s="105"/>
      <c r="BE24" s="105"/>
      <c r="BF24" s="105"/>
      <c r="BG24" s="105"/>
      <c r="BH24" s="105"/>
      <c r="BI24" s="105"/>
      <c r="BJ24" s="105"/>
      <c r="BK24" s="98"/>
      <c r="BL24" s="105"/>
      <c r="BM24" s="105"/>
      <c r="BN24" s="105"/>
      <c r="BO24" s="105"/>
    </row>
    <row r="25" spans="1:67" x14ac:dyDescent="0.2">
      <c r="A25" s="114">
        <f t="shared" si="0"/>
        <v>18</v>
      </c>
      <c r="B25" s="129">
        <f t="shared" si="1"/>
        <v>0</v>
      </c>
      <c r="C25" s="111" t="str">
        <f t="shared" si="2"/>
        <v>VANESSA AURELIA MULJADI</v>
      </c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38" t="str">
        <f t="shared" si="5"/>
        <v xml:space="preserve"> </v>
      </c>
      <c r="S25" s="116" t="str">
        <f t="shared" si="6"/>
        <v xml:space="preserve"> </v>
      </c>
      <c r="T25" s="116" t="str">
        <f t="shared" si="3"/>
        <v xml:space="preserve"> </v>
      </c>
      <c r="U25" s="4" t="str">
        <f t="shared" si="7"/>
        <v xml:space="preserve"> </v>
      </c>
      <c r="V25" s="145"/>
      <c r="W25" s="4">
        <f t="shared" si="8"/>
        <v>0</v>
      </c>
      <c r="X25" s="4">
        <f t="shared" si="9"/>
        <v>0</v>
      </c>
      <c r="Y25" s="4">
        <f t="shared" si="10"/>
        <v>0</v>
      </c>
      <c r="Z25" s="4">
        <f t="shared" si="11"/>
        <v>0</v>
      </c>
      <c r="AA25" s="4">
        <f t="shared" si="12"/>
        <v>0</v>
      </c>
      <c r="AB25" s="4">
        <f t="shared" si="13"/>
        <v>0</v>
      </c>
      <c r="AC25" s="4">
        <f t="shared" si="14"/>
        <v>0</v>
      </c>
      <c r="AD25" s="4">
        <f t="shared" si="15"/>
        <v>0</v>
      </c>
      <c r="AE25" s="4">
        <f t="shared" si="16"/>
        <v>0</v>
      </c>
      <c r="AF25" s="4">
        <f t="shared" si="17"/>
        <v>0</v>
      </c>
      <c r="AG25" s="4">
        <f t="shared" si="18"/>
        <v>0</v>
      </c>
      <c r="AH25" s="4">
        <f t="shared" si="19"/>
        <v>0</v>
      </c>
      <c r="AI25" s="4">
        <f t="shared" si="20"/>
        <v>0</v>
      </c>
      <c r="AJ25" s="4">
        <f t="shared" si="21"/>
        <v>0</v>
      </c>
      <c r="AK25" s="145"/>
      <c r="AM25" s="99">
        <v>19</v>
      </c>
      <c r="AN25" s="108" t="s">
        <v>324</v>
      </c>
      <c r="AO25" s="108" t="s">
        <v>325</v>
      </c>
      <c r="AP25" s="108" t="s">
        <v>359</v>
      </c>
      <c r="AQ25" s="108" t="s">
        <v>364</v>
      </c>
      <c r="AR25" s="108"/>
      <c r="AS25" s="108"/>
      <c r="AT25" s="108"/>
      <c r="AU25" s="108"/>
      <c r="AV25" s="108"/>
      <c r="AW25" s="108"/>
      <c r="AX25" s="108"/>
      <c r="AY25" s="108"/>
      <c r="AZ25" s="108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</row>
    <row r="26" spans="1:67" x14ac:dyDescent="0.2">
      <c r="A26" s="114">
        <f t="shared" si="0"/>
        <v>19</v>
      </c>
      <c r="B26" s="129">
        <f t="shared" si="1"/>
        <v>0</v>
      </c>
      <c r="C26" s="111" t="str">
        <f t="shared" si="2"/>
        <v>WISNU DWI PRASETYA</v>
      </c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38" t="str">
        <f t="shared" ref="R26:R32" si="22">IF(SUM(D26:Q26)=0," ",ROUND(AVERAGE(D26:Q26),0))</f>
        <v xml:space="preserve"> </v>
      </c>
      <c r="S26" s="116" t="str">
        <f t="shared" ref="S26:S32" si="23">IF(SUM(D26:Q26)=0," ",SUM(D26:Q26))</f>
        <v xml:space="preserve"> </v>
      </c>
      <c r="T26" s="116" t="str">
        <f t="shared" ref="T26:T32" si="24">IF(SUM(D26:Q26)=0," ",RANK(S26,$S$8:$S$32,0))</f>
        <v xml:space="preserve"> </v>
      </c>
      <c r="U26" s="4" t="str">
        <f t="shared" ref="U26:U32" si="25">IF(SUM(D26:Q26)=0," ",SUM(W26:AJ26))</f>
        <v xml:space="preserve"> </v>
      </c>
      <c r="V26" s="145"/>
      <c r="W26" s="4">
        <f t="shared" si="8"/>
        <v>0</v>
      </c>
      <c r="X26" s="4">
        <f t="shared" si="9"/>
        <v>0</v>
      </c>
      <c r="Y26" s="4">
        <f t="shared" si="10"/>
        <v>0</v>
      </c>
      <c r="Z26" s="4">
        <f t="shared" si="11"/>
        <v>0</v>
      </c>
      <c r="AA26" s="4">
        <f t="shared" si="12"/>
        <v>0</v>
      </c>
      <c r="AB26" s="4">
        <f t="shared" si="13"/>
        <v>0</v>
      </c>
      <c r="AC26" s="4">
        <f t="shared" si="14"/>
        <v>0</v>
      </c>
      <c r="AD26" s="4">
        <f t="shared" si="15"/>
        <v>0</v>
      </c>
      <c r="AE26" s="4">
        <f t="shared" si="16"/>
        <v>0</v>
      </c>
      <c r="AF26" s="4">
        <f t="shared" si="17"/>
        <v>0</v>
      </c>
      <c r="AG26" s="4">
        <f t="shared" si="18"/>
        <v>0</v>
      </c>
      <c r="AH26" s="4">
        <f t="shared" si="19"/>
        <v>0</v>
      </c>
      <c r="AI26" s="4">
        <f t="shared" si="20"/>
        <v>0</v>
      </c>
      <c r="AJ26" s="4">
        <f t="shared" si="21"/>
        <v>0</v>
      </c>
      <c r="AK26" s="145"/>
      <c r="AM26" s="99">
        <v>20</v>
      </c>
      <c r="AN26" s="108"/>
      <c r="AO26" s="108" t="s">
        <v>326</v>
      </c>
      <c r="AP26" s="108" t="s">
        <v>361</v>
      </c>
      <c r="AQ26" s="108" t="s">
        <v>366</v>
      </c>
      <c r="AR26" s="108"/>
      <c r="AS26" s="108"/>
      <c r="AT26" s="108"/>
      <c r="AU26" s="108"/>
      <c r="AV26" s="108"/>
      <c r="AW26" s="108"/>
      <c r="AX26" s="108"/>
      <c r="AY26" s="108"/>
      <c r="AZ26" s="108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</row>
    <row r="27" spans="1:67" x14ac:dyDescent="0.2">
      <c r="A27" s="114" t="str">
        <f t="shared" si="0"/>
        <v xml:space="preserve"> </v>
      </c>
      <c r="B27" s="129" t="str">
        <f t="shared" si="1"/>
        <v xml:space="preserve"> </v>
      </c>
      <c r="C27" s="111" t="str">
        <f t="shared" si="2"/>
        <v xml:space="preserve"> </v>
      </c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38" t="str">
        <f t="shared" si="22"/>
        <v xml:space="preserve"> </v>
      </c>
      <c r="S27" s="116" t="str">
        <f t="shared" si="23"/>
        <v xml:space="preserve"> </v>
      </c>
      <c r="T27" s="116" t="str">
        <f t="shared" si="24"/>
        <v xml:space="preserve"> </v>
      </c>
      <c r="U27" s="4" t="str">
        <f t="shared" si="25"/>
        <v xml:space="preserve"> </v>
      </c>
      <c r="V27" s="145"/>
      <c r="W27" s="4" t="str">
        <f t="shared" si="8"/>
        <v xml:space="preserve"> </v>
      </c>
      <c r="X27" s="4" t="str">
        <f t="shared" si="9"/>
        <v xml:space="preserve"> </v>
      </c>
      <c r="Y27" s="4" t="str">
        <f t="shared" si="10"/>
        <v xml:space="preserve"> </v>
      </c>
      <c r="Z27" s="4" t="str">
        <f t="shared" si="11"/>
        <v xml:space="preserve"> </v>
      </c>
      <c r="AA27" s="4" t="str">
        <f t="shared" si="12"/>
        <v xml:space="preserve"> </v>
      </c>
      <c r="AB27" s="4" t="str">
        <f t="shared" si="13"/>
        <v xml:space="preserve"> </v>
      </c>
      <c r="AC27" s="4" t="str">
        <f t="shared" si="14"/>
        <v xml:space="preserve"> </v>
      </c>
      <c r="AD27" s="4" t="str">
        <f t="shared" si="15"/>
        <v xml:space="preserve"> </v>
      </c>
      <c r="AE27" s="4" t="str">
        <f t="shared" si="16"/>
        <v xml:space="preserve"> </v>
      </c>
      <c r="AF27" s="4" t="str">
        <f t="shared" si="17"/>
        <v xml:space="preserve"> </v>
      </c>
      <c r="AG27" s="4" t="str">
        <f t="shared" si="18"/>
        <v xml:space="preserve"> </v>
      </c>
      <c r="AH27" s="4" t="str">
        <f t="shared" si="19"/>
        <v xml:space="preserve"> </v>
      </c>
      <c r="AI27" s="4" t="str">
        <f t="shared" si="20"/>
        <v xml:space="preserve"> </v>
      </c>
      <c r="AJ27" s="4" t="str">
        <f t="shared" si="21"/>
        <v xml:space="preserve"> </v>
      </c>
      <c r="AK27" s="145"/>
      <c r="AM27" s="99">
        <v>21</v>
      </c>
      <c r="AN27" s="108"/>
      <c r="AO27" s="108"/>
      <c r="AP27" s="108" t="s">
        <v>363</v>
      </c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</row>
    <row r="28" spans="1:67" x14ac:dyDescent="0.2">
      <c r="A28" s="114" t="str">
        <f t="shared" si="0"/>
        <v xml:space="preserve"> </v>
      </c>
      <c r="B28" s="129" t="str">
        <f t="shared" si="1"/>
        <v xml:space="preserve"> </v>
      </c>
      <c r="C28" s="111" t="str">
        <f t="shared" si="2"/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38" t="str">
        <f t="shared" si="22"/>
        <v xml:space="preserve"> </v>
      </c>
      <c r="S28" s="116" t="str">
        <f t="shared" si="23"/>
        <v xml:space="preserve"> </v>
      </c>
      <c r="T28" s="116" t="str">
        <f t="shared" si="24"/>
        <v xml:space="preserve"> </v>
      </c>
      <c r="U28" s="4" t="str">
        <f t="shared" si="25"/>
        <v xml:space="preserve"> </v>
      </c>
      <c r="V28" s="145"/>
      <c r="W28" s="4" t="str">
        <f t="shared" si="8"/>
        <v xml:space="preserve"> </v>
      </c>
      <c r="X28" s="4" t="str">
        <f t="shared" si="9"/>
        <v xml:space="preserve"> </v>
      </c>
      <c r="Y28" s="4" t="str">
        <f t="shared" si="10"/>
        <v xml:space="preserve"> </v>
      </c>
      <c r="Z28" s="4" t="str">
        <f t="shared" si="11"/>
        <v xml:space="preserve"> </v>
      </c>
      <c r="AA28" s="4" t="str">
        <f t="shared" si="12"/>
        <v xml:space="preserve"> </v>
      </c>
      <c r="AB28" s="4" t="str">
        <f t="shared" si="13"/>
        <v xml:space="preserve"> </v>
      </c>
      <c r="AC28" s="4" t="str">
        <f t="shared" si="14"/>
        <v xml:space="preserve"> </v>
      </c>
      <c r="AD28" s="4" t="str">
        <f t="shared" si="15"/>
        <v xml:space="preserve"> </v>
      </c>
      <c r="AE28" s="4" t="str">
        <f t="shared" si="16"/>
        <v xml:space="preserve"> </v>
      </c>
      <c r="AF28" s="4" t="str">
        <f t="shared" si="17"/>
        <v xml:space="preserve"> </v>
      </c>
      <c r="AG28" s="4" t="str">
        <f t="shared" si="18"/>
        <v xml:space="preserve"> </v>
      </c>
      <c r="AH28" s="4" t="str">
        <f t="shared" si="19"/>
        <v xml:space="preserve"> </v>
      </c>
      <c r="AI28" s="4" t="str">
        <f t="shared" si="20"/>
        <v xml:space="preserve"> </v>
      </c>
      <c r="AJ28" s="4" t="str">
        <f t="shared" si="21"/>
        <v xml:space="preserve"> </v>
      </c>
      <c r="AK28" s="145"/>
      <c r="AM28" s="99">
        <v>22</v>
      </c>
      <c r="AN28" s="108"/>
      <c r="AO28" s="108"/>
      <c r="AP28" s="108" t="s">
        <v>365</v>
      </c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</row>
    <row r="29" spans="1:67" x14ac:dyDescent="0.2">
      <c r="A29" s="114" t="str">
        <f t="shared" si="0"/>
        <v xml:space="preserve"> </v>
      </c>
      <c r="B29" s="129" t="str">
        <f t="shared" si="1"/>
        <v xml:space="preserve"> </v>
      </c>
      <c r="C29" s="111" t="str">
        <f t="shared" si="2"/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38" t="str">
        <f t="shared" si="22"/>
        <v xml:space="preserve"> </v>
      </c>
      <c r="S29" s="116" t="str">
        <f t="shared" si="23"/>
        <v xml:space="preserve"> </v>
      </c>
      <c r="T29" s="116" t="str">
        <f t="shared" si="24"/>
        <v xml:space="preserve"> </v>
      </c>
      <c r="U29" s="4" t="str">
        <f t="shared" si="25"/>
        <v xml:space="preserve"> </v>
      </c>
      <c r="V29" s="145"/>
      <c r="W29" s="4" t="str">
        <f t="shared" si="8"/>
        <v xml:space="preserve"> </v>
      </c>
      <c r="X29" s="4" t="str">
        <f t="shared" si="9"/>
        <v xml:space="preserve"> </v>
      </c>
      <c r="Y29" s="4" t="str">
        <f t="shared" si="10"/>
        <v xml:space="preserve"> </v>
      </c>
      <c r="Z29" s="4" t="str">
        <f t="shared" si="11"/>
        <v xml:space="preserve"> </v>
      </c>
      <c r="AA29" s="4" t="str">
        <f t="shared" si="12"/>
        <v xml:space="preserve"> </v>
      </c>
      <c r="AB29" s="4" t="str">
        <f t="shared" si="13"/>
        <v xml:space="preserve"> </v>
      </c>
      <c r="AC29" s="4" t="str">
        <f t="shared" si="14"/>
        <v xml:space="preserve"> </v>
      </c>
      <c r="AD29" s="4" t="str">
        <f t="shared" si="15"/>
        <v xml:space="preserve"> </v>
      </c>
      <c r="AE29" s="4" t="str">
        <f t="shared" si="16"/>
        <v xml:space="preserve"> </v>
      </c>
      <c r="AF29" s="4" t="str">
        <f t="shared" si="17"/>
        <v xml:space="preserve"> </v>
      </c>
      <c r="AG29" s="4" t="str">
        <f t="shared" si="18"/>
        <v xml:space="preserve"> </v>
      </c>
      <c r="AH29" s="4" t="str">
        <f t="shared" si="19"/>
        <v xml:space="preserve"> </v>
      </c>
      <c r="AI29" s="4" t="str">
        <f t="shared" si="20"/>
        <v xml:space="preserve"> </v>
      </c>
      <c r="AJ29" s="4" t="str">
        <f t="shared" si="21"/>
        <v xml:space="preserve"> </v>
      </c>
      <c r="AK29" s="145"/>
      <c r="AM29" s="99">
        <v>23</v>
      </c>
      <c r="AN29" s="159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</row>
    <row r="30" spans="1:67" x14ac:dyDescent="0.2">
      <c r="A30" s="114" t="str">
        <f t="shared" si="0"/>
        <v xml:space="preserve"> </v>
      </c>
      <c r="B30" s="129" t="str">
        <f t="shared" si="1"/>
        <v xml:space="preserve"> </v>
      </c>
      <c r="C30" s="111" t="str">
        <f t="shared" si="2"/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38" t="str">
        <f t="shared" si="22"/>
        <v xml:space="preserve"> </v>
      </c>
      <c r="S30" s="116" t="str">
        <f t="shared" si="23"/>
        <v xml:space="preserve"> </v>
      </c>
      <c r="T30" s="116" t="str">
        <f t="shared" si="24"/>
        <v xml:space="preserve"> </v>
      </c>
      <c r="U30" s="4" t="str">
        <f t="shared" si="25"/>
        <v xml:space="preserve"> </v>
      </c>
      <c r="V30" s="145"/>
      <c r="W30" s="4" t="str">
        <f t="shared" si="8"/>
        <v xml:space="preserve"> </v>
      </c>
      <c r="X30" s="4" t="str">
        <f t="shared" si="9"/>
        <v xml:space="preserve"> </v>
      </c>
      <c r="Y30" s="4" t="str">
        <f t="shared" si="10"/>
        <v xml:space="preserve"> </v>
      </c>
      <c r="Z30" s="4" t="str">
        <f t="shared" si="11"/>
        <v xml:space="preserve"> </v>
      </c>
      <c r="AA30" s="4" t="str">
        <f t="shared" si="12"/>
        <v xml:space="preserve"> </v>
      </c>
      <c r="AB30" s="4" t="str">
        <f t="shared" si="13"/>
        <v xml:space="preserve"> </v>
      </c>
      <c r="AC30" s="4" t="str">
        <f t="shared" si="14"/>
        <v xml:space="preserve"> </v>
      </c>
      <c r="AD30" s="4" t="str">
        <f t="shared" si="15"/>
        <v xml:space="preserve"> </v>
      </c>
      <c r="AE30" s="4" t="str">
        <f t="shared" si="16"/>
        <v xml:space="preserve"> </v>
      </c>
      <c r="AF30" s="4" t="str">
        <f t="shared" si="17"/>
        <v xml:space="preserve"> </v>
      </c>
      <c r="AG30" s="4" t="str">
        <f t="shared" si="18"/>
        <v xml:space="preserve"> </v>
      </c>
      <c r="AH30" s="4" t="str">
        <f t="shared" si="19"/>
        <v xml:space="preserve"> </v>
      </c>
      <c r="AI30" s="4" t="str">
        <f t="shared" si="20"/>
        <v xml:space="preserve"> </v>
      </c>
      <c r="AJ30" s="4" t="str">
        <f t="shared" si="21"/>
        <v xml:space="preserve"> </v>
      </c>
      <c r="AK30" s="145"/>
      <c r="AM30" s="99">
        <v>24</v>
      </c>
      <c r="AN30" s="159"/>
      <c r="AO30" s="159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</row>
    <row r="31" spans="1:67" x14ac:dyDescent="0.2">
      <c r="A31" s="114" t="str">
        <f t="shared" si="0"/>
        <v xml:space="preserve"> </v>
      </c>
      <c r="B31" s="129" t="str">
        <f t="shared" si="1"/>
        <v xml:space="preserve"> </v>
      </c>
      <c r="C31" s="111" t="str">
        <f t="shared" ref="C31:C32" si="26">IF(C60=0," ",C60)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38" t="str">
        <f t="shared" si="22"/>
        <v xml:space="preserve"> </v>
      </c>
      <c r="S31" s="116" t="str">
        <f t="shared" si="23"/>
        <v xml:space="preserve"> </v>
      </c>
      <c r="T31" s="116" t="str">
        <f t="shared" si="24"/>
        <v xml:space="preserve"> </v>
      </c>
      <c r="U31" s="4" t="str">
        <f t="shared" si="25"/>
        <v xml:space="preserve"> </v>
      </c>
      <c r="V31" s="145"/>
      <c r="W31" s="4" t="str">
        <f t="shared" ref="W31" si="27">IF($A31=" "," ",IF(D31&lt;D$7,1,0))</f>
        <v xml:space="preserve"> </v>
      </c>
      <c r="X31" s="4" t="str">
        <f t="shared" ref="X31" si="28">IF($A31=" "," ",IF(E31&lt;E$7,1,0))</f>
        <v xml:space="preserve"> </v>
      </c>
      <c r="Y31" s="4" t="str">
        <f t="shared" ref="Y31" si="29">IF($A31=" "," ",IF(F31&lt;F$7,1,0))</f>
        <v xml:space="preserve"> </v>
      </c>
      <c r="Z31" s="4" t="str">
        <f t="shared" ref="Z31" si="30">IF($A31=" "," ",IF(G31&lt;G$7,1,0))</f>
        <v xml:space="preserve"> </v>
      </c>
      <c r="AA31" s="4" t="str">
        <f t="shared" ref="AA31" si="31">IF($A31=" "," ",IF(H31&lt;H$7,1,0))</f>
        <v xml:space="preserve"> </v>
      </c>
      <c r="AB31" s="4" t="str">
        <f t="shared" ref="AB31" si="32">IF($A31=" "," ",IF(I31&lt;I$7,1,0))</f>
        <v xml:space="preserve"> </v>
      </c>
      <c r="AC31" s="4" t="str">
        <f t="shared" ref="AC31" si="33">IF($A31=" "," ",IF(J31&lt;J$7,1,0))</f>
        <v xml:space="preserve"> </v>
      </c>
      <c r="AD31" s="4" t="str">
        <f t="shared" ref="AD31" si="34">IF($A31=" "," ",IF(K31&lt;K$7,1,0))</f>
        <v xml:space="preserve"> </v>
      </c>
      <c r="AE31" s="4" t="str">
        <f t="shared" ref="AE31" si="35">IF($A31=" "," ",IF(L31&lt;L$7,1,0))</f>
        <v xml:space="preserve"> </v>
      </c>
      <c r="AF31" s="4" t="str">
        <f t="shared" ref="AF31" si="36">IF($A31=" "," ",IF(M31&lt;M$7,1,0))</f>
        <v xml:space="preserve"> </v>
      </c>
      <c r="AG31" s="4" t="str">
        <f t="shared" ref="AG31" si="37">IF($A31=" "," ",IF(N31&lt;N$7,1,0))</f>
        <v xml:space="preserve"> </v>
      </c>
      <c r="AH31" s="4" t="str">
        <f t="shared" ref="AH31" si="38">IF($A31=" "," ",IF(O31&lt;O$7,1,0))</f>
        <v xml:space="preserve"> </v>
      </c>
      <c r="AI31" s="4" t="str">
        <f t="shared" ref="AI31" si="39">IF($A31=" "," ",IF(P31&lt;P$7,1,0))</f>
        <v xml:space="preserve"> </v>
      </c>
      <c r="AJ31" s="4" t="str">
        <f t="shared" ref="AJ31" si="40">IF($A31=" "," ",IF(Q31&lt;Q$7,1,0))</f>
        <v xml:space="preserve"> </v>
      </c>
      <c r="AK31" s="145"/>
      <c r="AM31" s="158">
        <v>25</v>
      </c>
      <c r="AN31" s="159"/>
      <c r="AO31" s="159"/>
      <c r="AP31" s="159"/>
      <c r="AQ31" s="159"/>
      <c r="AR31" s="108"/>
      <c r="AS31" s="108"/>
      <c r="AT31" s="108"/>
      <c r="AU31" s="108"/>
      <c r="AV31" s="108"/>
      <c r="AW31" s="108"/>
      <c r="AX31" s="108"/>
      <c r="AY31" s="108"/>
      <c r="AZ31" s="108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</row>
    <row r="32" spans="1:67" x14ac:dyDescent="0.2">
      <c r="A32" s="114" t="str">
        <f t="shared" si="0"/>
        <v xml:space="preserve"> </v>
      </c>
      <c r="B32" s="129" t="str">
        <f t="shared" ref="B32" si="41">IF(C32=" "," ",B61)</f>
        <v xml:space="preserve"> </v>
      </c>
      <c r="C32" s="111" t="str">
        <f t="shared" si="26"/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38" t="str">
        <f t="shared" si="22"/>
        <v xml:space="preserve"> </v>
      </c>
      <c r="S32" s="116" t="str">
        <f t="shared" si="23"/>
        <v xml:space="preserve"> </v>
      </c>
      <c r="T32" s="116" t="str">
        <f t="shared" si="24"/>
        <v xml:space="preserve"> </v>
      </c>
      <c r="U32" s="4" t="str">
        <f t="shared" si="25"/>
        <v xml:space="preserve"> </v>
      </c>
      <c r="V32" s="145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5"/>
      <c r="AM32" s="99">
        <v>26</v>
      </c>
      <c r="AN32" s="159"/>
      <c r="AO32" s="159"/>
      <c r="AP32" s="159"/>
      <c r="AQ32" s="159"/>
      <c r="AR32" s="159"/>
      <c r="AS32" s="108"/>
      <c r="AT32" s="108"/>
      <c r="AU32" s="108"/>
      <c r="AV32" s="108"/>
      <c r="AW32" s="108"/>
      <c r="AX32" s="108"/>
      <c r="AY32" s="108"/>
      <c r="AZ32" s="108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</row>
    <row r="33" spans="1:52" x14ac:dyDescent="0.2">
      <c r="W33" s="117">
        <f>SUM(W8:W32)</f>
        <v>0</v>
      </c>
      <c r="X33" s="117">
        <f t="shared" ref="X33:AJ33" si="42">SUM(X8:X32)</f>
        <v>0</v>
      </c>
      <c r="Y33" s="117">
        <f t="shared" si="42"/>
        <v>0</v>
      </c>
      <c r="Z33" s="117">
        <f t="shared" si="42"/>
        <v>0</v>
      </c>
      <c r="AA33" s="117">
        <f t="shared" si="42"/>
        <v>0</v>
      </c>
      <c r="AB33" s="117">
        <f t="shared" si="42"/>
        <v>0</v>
      </c>
      <c r="AC33" s="117">
        <f t="shared" si="42"/>
        <v>0</v>
      </c>
      <c r="AD33" s="117">
        <f t="shared" si="42"/>
        <v>0</v>
      </c>
      <c r="AE33" s="117">
        <f t="shared" si="42"/>
        <v>0</v>
      </c>
      <c r="AF33" s="117">
        <f t="shared" si="42"/>
        <v>0</v>
      </c>
      <c r="AG33" s="117">
        <f t="shared" si="42"/>
        <v>0</v>
      </c>
      <c r="AH33" s="117">
        <f t="shared" si="42"/>
        <v>0</v>
      </c>
      <c r="AI33" s="117">
        <f t="shared" si="42"/>
        <v>0</v>
      </c>
      <c r="AJ33" s="117">
        <f t="shared" si="42"/>
        <v>0</v>
      </c>
      <c r="AM33" s="53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idden="1" x14ac:dyDescent="0.2">
      <c r="W34" s="117">
        <f>COUNTIF(A8:A32,"&gt;0")</f>
        <v>19</v>
      </c>
    </row>
    <row r="35" spans="1:52" hidden="1" x14ac:dyDescent="0.2">
      <c r="B35" s="128" t="s">
        <v>227</v>
      </c>
      <c r="C35" s="127" t="str">
        <f>C3</f>
        <v>12 Science 2</v>
      </c>
    </row>
    <row r="36" spans="1:52" hidden="1" x14ac:dyDescent="0.2">
      <c r="A36" s="125" t="s">
        <v>225</v>
      </c>
      <c r="B36" s="125" t="s">
        <v>130</v>
      </c>
      <c r="C36" s="125" t="s">
        <v>226</v>
      </c>
      <c r="D36" s="189" t="s">
        <v>7</v>
      </c>
      <c r="E36" s="190"/>
    </row>
    <row r="37" spans="1:52" hidden="1" x14ac:dyDescent="0.2">
      <c r="A37" s="114">
        <f>IF($C$35=0," ",F37)</f>
        <v>1</v>
      </c>
      <c r="B37" s="110">
        <f>HLOOKUP($C$3,No_Middle,2,0)</f>
        <v>0</v>
      </c>
      <c r="C37" s="111" t="str">
        <f>IF($C$3=0," ",HLOOKUP($C$3,Nama_Middle,2,0))</f>
        <v>ADRIAN REYNARD SUTANTO</v>
      </c>
      <c r="D37" s="120" t="str">
        <f>D6</f>
        <v>Religion</v>
      </c>
      <c r="E37" s="114">
        <f>D7</f>
        <v>0</v>
      </c>
      <c r="F37" s="117">
        <v>1</v>
      </c>
    </row>
    <row r="38" spans="1:52" ht="12.75" hidden="1" customHeight="1" x14ac:dyDescent="0.2">
      <c r="A38" s="114">
        <f t="shared" ref="A38:A59" si="43">IF($C$35=0," ",F38)</f>
        <v>2</v>
      </c>
      <c r="B38" s="110">
        <f>HLOOKUP($C$3,No_Middle,3,0)</f>
        <v>0</v>
      </c>
      <c r="C38" s="111" t="str">
        <f>IF($C$3=0," ",HLOOKUP($C$3,Nama_Middle,3,0))</f>
        <v>ALVYN</v>
      </c>
      <c r="D38" s="121" t="str">
        <f>E6</f>
        <v>PKN</v>
      </c>
      <c r="E38" s="122">
        <f>E7</f>
        <v>0</v>
      </c>
      <c r="F38" s="117">
        <v>2</v>
      </c>
      <c r="G38" s="104"/>
      <c r="H38" s="5"/>
    </row>
    <row r="39" spans="1:52" ht="25.5" hidden="1" x14ac:dyDescent="0.2">
      <c r="A39" s="114">
        <f t="shared" si="43"/>
        <v>3</v>
      </c>
      <c r="B39" s="110">
        <f>HLOOKUP($C$3,No_Middle,4,0)</f>
        <v>0</v>
      </c>
      <c r="C39" s="111" t="str">
        <f>IF($C$3=0," ",HLOOKUP($C$3,Nama_Middle,4,0))</f>
        <v>ANDREW IVAN SOEGENG</v>
      </c>
      <c r="D39" s="121" t="str">
        <f>F6</f>
        <v>Indonesian</v>
      </c>
      <c r="E39" s="122">
        <f>F7</f>
        <v>0</v>
      </c>
      <c r="F39" s="117">
        <v>3</v>
      </c>
      <c r="G39" s="104"/>
      <c r="H39" s="5"/>
    </row>
    <row r="40" spans="1:52" hidden="1" x14ac:dyDescent="0.2">
      <c r="A40" s="114">
        <f t="shared" si="43"/>
        <v>4</v>
      </c>
      <c r="B40" s="110">
        <f>HLOOKUP($C$3,No_Middle,5,0)</f>
        <v>0</v>
      </c>
      <c r="C40" s="111" t="str">
        <f>IF($C$3=0," ",HLOOKUP($C$3,Nama_Middle,5,0))</f>
        <v>ARSENIUS DAVIN</v>
      </c>
      <c r="D40" s="121" t="str">
        <f>G6</f>
        <v>English</v>
      </c>
      <c r="E40" s="122">
        <f>G7</f>
        <v>0</v>
      </c>
      <c r="F40" s="117">
        <v>4</v>
      </c>
      <c r="G40" s="104"/>
      <c r="H40" s="5"/>
    </row>
    <row r="41" spans="1:52" hidden="1" x14ac:dyDescent="0.2">
      <c r="A41" s="114">
        <f t="shared" si="43"/>
        <v>5</v>
      </c>
      <c r="B41" s="110">
        <f>HLOOKUP($C$3,No_Middle,6,0)</f>
        <v>0</v>
      </c>
      <c r="C41" s="111" t="str">
        <f>IF($C$3=0," ",HLOOKUP($C$3,Nama_Middle,6,0))</f>
        <v>BENEDICTUS LEONARDUS TAMIN</v>
      </c>
      <c r="D41" s="121" t="str">
        <f>H6</f>
        <v>Math</v>
      </c>
      <c r="E41" s="122">
        <f>H7</f>
        <v>0</v>
      </c>
      <c r="F41" s="117">
        <v>5</v>
      </c>
      <c r="G41" s="104"/>
      <c r="H41" s="5"/>
    </row>
    <row r="42" spans="1:52" hidden="1" x14ac:dyDescent="0.2">
      <c r="A42" s="114">
        <f t="shared" si="43"/>
        <v>6</v>
      </c>
      <c r="B42" s="110">
        <f>HLOOKUP($C$3,No_Middle,7,0)</f>
        <v>0</v>
      </c>
      <c r="C42" s="111" t="str">
        <f>IF($C$3=0," ",HLOOKUP($C$3,Nama_Middle,7,0))</f>
        <v>BRAZALI WIRANATA</v>
      </c>
      <c r="D42" s="121" t="str">
        <f>I6</f>
        <v>Physics</v>
      </c>
      <c r="E42" s="122">
        <f>I7</f>
        <v>0</v>
      </c>
      <c r="F42" s="117">
        <v>6</v>
      </c>
      <c r="G42" s="104"/>
      <c r="H42" s="5"/>
    </row>
    <row r="43" spans="1:52" hidden="1" x14ac:dyDescent="0.2">
      <c r="A43" s="114">
        <f t="shared" si="43"/>
        <v>7</v>
      </c>
      <c r="B43" s="110">
        <f>HLOOKUP($C$3,No_Middle,8,0)</f>
        <v>0</v>
      </c>
      <c r="C43" s="111" t="str">
        <f>IF($C$3=0," ",HLOOKUP($C$3,Nama_Middle,8,0))</f>
        <v>CHRISTOPHER</v>
      </c>
      <c r="D43" s="121" t="str">
        <f>J6</f>
        <v>Biology</v>
      </c>
      <c r="E43" s="122">
        <f>J7</f>
        <v>0</v>
      </c>
      <c r="F43" s="117">
        <v>7</v>
      </c>
      <c r="G43" s="104"/>
      <c r="H43" s="5"/>
    </row>
    <row r="44" spans="1:52" ht="12.75" hidden="1" customHeight="1" x14ac:dyDescent="0.2">
      <c r="A44" s="114">
        <f t="shared" si="43"/>
        <v>8</v>
      </c>
      <c r="B44" s="110">
        <f>HLOOKUP($C$3,No_Middle,9,0)</f>
        <v>0</v>
      </c>
      <c r="C44" s="111" t="str">
        <f>IF($C$3=0," ",HLOOKUP($C$3,Nama_Middle,9,0))</f>
        <v>GABRIELA ANSEL TJIPUTRA</v>
      </c>
      <c r="D44" s="121" t="str">
        <f>K6</f>
        <v>Chemistry</v>
      </c>
      <c r="E44" s="122">
        <f>K7</f>
        <v>0</v>
      </c>
      <c r="F44" s="117">
        <v>8</v>
      </c>
      <c r="G44" s="104"/>
      <c r="H44" s="5"/>
    </row>
    <row r="45" spans="1:52" hidden="1" x14ac:dyDescent="0.2">
      <c r="A45" s="114">
        <f t="shared" si="43"/>
        <v>9</v>
      </c>
      <c r="B45" s="110">
        <f>HLOOKUP($C$3,No_Middle,10,0)</f>
        <v>0</v>
      </c>
      <c r="C45" s="111" t="str">
        <f>IF($C$3=0," ",HLOOKUP($C$3,Nama_Middle,10,0))</f>
        <v>GERHARD LUKITA</v>
      </c>
      <c r="D45" s="121" t="str">
        <f>L6</f>
        <v>History</v>
      </c>
      <c r="E45" s="122">
        <f>L7</f>
        <v>0</v>
      </c>
      <c r="F45" s="117">
        <v>9</v>
      </c>
      <c r="G45" s="104"/>
      <c r="H45" s="5"/>
    </row>
    <row r="46" spans="1:52" hidden="1" x14ac:dyDescent="0.2">
      <c r="A46" s="114">
        <f t="shared" si="43"/>
        <v>10</v>
      </c>
      <c r="B46" s="110">
        <f>HLOOKUP($C$3,No_Middle,11,0)</f>
        <v>0</v>
      </c>
      <c r="C46" s="111" t="str">
        <f>IF($C$3=0," ",HLOOKUP($C$3,Nama_Middle,11,0))</f>
        <v>JESSICA CLARABELLA CHRISTIANNA</v>
      </c>
      <c r="D46" s="121" t="str">
        <f>M6</f>
        <v>Arts</v>
      </c>
      <c r="E46" s="122">
        <f>M7</f>
        <v>0</v>
      </c>
      <c r="F46" s="117">
        <v>10</v>
      </c>
      <c r="G46" s="104"/>
      <c r="H46" s="5"/>
    </row>
    <row r="47" spans="1:52" hidden="1" x14ac:dyDescent="0.2">
      <c r="A47" s="114">
        <f t="shared" si="43"/>
        <v>11</v>
      </c>
      <c r="B47" s="110">
        <f>HLOOKUP($C$3,No_Middle,12,0)</f>
        <v>0</v>
      </c>
      <c r="C47" s="111" t="str">
        <f>IF($C$3=0," ",HLOOKUP($C$3,Nama_Middle,12,0))</f>
        <v>JEREMY HARIMAUWAN</v>
      </c>
      <c r="D47" s="121" t="str">
        <f>N6</f>
        <v>PE</v>
      </c>
      <c r="E47" s="122">
        <f>N7</f>
        <v>0</v>
      </c>
      <c r="F47" s="117">
        <v>11</v>
      </c>
      <c r="G47" s="104"/>
      <c r="H47" s="5"/>
    </row>
    <row r="48" spans="1:52" hidden="1" x14ac:dyDescent="0.2">
      <c r="A48" s="114">
        <f t="shared" si="43"/>
        <v>12</v>
      </c>
      <c r="B48" s="110">
        <f>HLOOKUP($C$3,No_Middle,13,0)</f>
        <v>0</v>
      </c>
      <c r="C48" s="111" t="str">
        <f>IF($C$3=0," ",HLOOKUP($C$3,Nama_Middle,13,0))</f>
        <v>JOVANKA MAUREEN</v>
      </c>
      <c r="D48" s="121" t="str">
        <f>O6</f>
        <v>Mandarin</v>
      </c>
      <c r="E48" s="122">
        <f>O7</f>
        <v>0</v>
      </c>
      <c r="F48" s="117">
        <v>12</v>
      </c>
      <c r="G48" s="104"/>
      <c r="H48" s="5"/>
    </row>
    <row r="49" spans="1:23" hidden="1" x14ac:dyDescent="0.2">
      <c r="A49" s="114">
        <f t="shared" si="43"/>
        <v>13</v>
      </c>
      <c r="B49" s="110">
        <f>HLOOKUP($C$3,No_Middle,14,0)</f>
        <v>0</v>
      </c>
      <c r="C49" s="111" t="str">
        <f>IF($C$3=0," ",HLOOKUP($C$3,Nama_Middle,14,0))</f>
        <v>JUAN NATANIEL FERDIAN</v>
      </c>
      <c r="D49" s="121" t="str">
        <f>P6</f>
        <v>ICT</v>
      </c>
      <c r="E49" s="122">
        <f>P7</f>
        <v>0</v>
      </c>
      <c r="F49" s="117">
        <v>13</v>
      </c>
      <c r="G49" s="104"/>
      <c r="H49" s="5"/>
    </row>
    <row r="50" spans="1:23" hidden="1" x14ac:dyDescent="0.2">
      <c r="A50" s="114">
        <f t="shared" si="43"/>
        <v>14</v>
      </c>
      <c r="B50" s="110">
        <f>HLOOKUP($C$3,No_Middle,15,0)</f>
        <v>0</v>
      </c>
      <c r="C50" s="111" t="str">
        <f>IF($C$3=0," ",HLOOKUP($C$3,Nama_Middle,15,0))</f>
        <v>LIONY NATALIA</v>
      </c>
      <c r="D50" s="121" t="str">
        <f>Q6</f>
        <v>Writing</v>
      </c>
      <c r="E50" s="122">
        <f>Q7</f>
        <v>0</v>
      </c>
      <c r="F50" s="117">
        <v>14</v>
      </c>
      <c r="G50" s="104"/>
      <c r="H50" s="5"/>
      <c r="W50" s="117">
        <f>COUNTIF(S8:S32,"&gt;0")</f>
        <v>0</v>
      </c>
    </row>
    <row r="51" spans="1:23" hidden="1" x14ac:dyDescent="0.2">
      <c r="A51" s="114">
        <f t="shared" si="43"/>
        <v>15</v>
      </c>
      <c r="B51" s="110">
        <f>HLOOKUP($C$3,No_Middle,16,0)</f>
        <v>0</v>
      </c>
      <c r="C51" s="111" t="str">
        <f>IF($C$3=0," ",HLOOKUP($C$3,Nama_Middle,16,0))</f>
        <v>NICOLE FERNANDA ANTON</v>
      </c>
      <c r="D51" s="123"/>
      <c r="E51" s="123"/>
      <c r="F51" s="117">
        <v>15</v>
      </c>
      <c r="G51" s="5"/>
      <c r="H51" s="5"/>
    </row>
    <row r="52" spans="1:23" hidden="1" x14ac:dyDescent="0.2">
      <c r="A52" s="114">
        <f t="shared" si="43"/>
        <v>16</v>
      </c>
      <c r="B52" s="110">
        <f>HLOOKUP($C$3,No_Middle,17,0)</f>
        <v>0</v>
      </c>
      <c r="C52" s="111" t="str">
        <f>IF($C$3=0," ",HLOOKUP($C$3,Nama_Middle,17,0))</f>
        <v>SAMUEL SABAHTANI</v>
      </c>
      <c r="D52" s="123"/>
      <c r="E52" s="123"/>
      <c r="F52" s="117">
        <v>16</v>
      </c>
      <c r="G52" s="5"/>
      <c r="H52" s="5"/>
    </row>
    <row r="53" spans="1:23" hidden="1" x14ac:dyDescent="0.2">
      <c r="A53" s="114">
        <f t="shared" si="43"/>
        <v>17</v>
      </c>
      <c r="B53" s="110">
        <f>HLOOKUP($C$3,No_Middle,18,0)</f>
        <v>0</v>
      </c>
      <c r="C53" s="111" t="str">
        <f>IF($C$3=0," ",HLOOKUP($C$3,Nama_Middle,18,0))</f>
        <v>SUBHADRAWAN WILLIAM NATHAN</v>
      </c>
      <c r="D53" s="123"/>
      <c r="E53" s="123"/>
      <c r="F53" s="117">
        <v>17</v>
      </c>
      <c r="G53" s="5"/>
      <c r="H53" s="5"/>
    </row>
    <row r="54" spans="1:23" hidden="1" x14ac:dyDescent="0.2">
      <c r="A54" s="114">
        <f t="shared" si="43"/>
        <v>18</v>
      </c>
      <c r="B54" s="110">
        <f>HLOOKUP($C$3,No_Middle,19,0)</f>
        <v>0</v>
      </c>
      <c r="C54" s="111" t="str">
        <f>IF($C$3=0," ",HLOOKUP($C$3,Nama_Middle,19,0))</f>
        <v>VANESSA AURELIA MULJADI</v>
      </c>
      <c r="D54" s="123"/>
      <c r="E54" s="123"/>
      <c r="F54" s="117">
        <v>18</v>
      </c>
      <c r="G54" s="5"/>
      <c r="H54" s="5"/>
    </row>
    <row r="55" spans="1:23" hidden="1" x14ac:dyDescent="0.2">
      <c r="A55" s="114">
        <f t="shared" si="43"/>
        <v>19</v>
      </c>
      <c r="B55" s="110">
        <f>HLOOKUP($C$3,No_Middle,20,0)</f>
        <v>0</v>
      </c>
      <c r="C55" s="111" t="str">
        <f>IF($C$3=0," ",HLOOKUP($C$3,Nama_Middle,20,0))</f>
        <v>WISNU DWI PRASETYA</v>
      </c>
      <c r="D55" s="123"/>
      <c r="E55" s="123"/>
      <c r="F55" s="117">
        <v>19</v>
      </c>
      <c r="G55" s="5"/>
      <c r="H55" s="5"/>
    </row>
    <row r="56" spans="1:23" hidden="1" x14ac:dyDescent="0.2">
      <c r="A56" s="114">
        <f t="shared" si="43"/>
        <v>20</v>
      </c>
      <c r="B56" s="110">
        <f>HLOOKUP($C$3,No_Middle,21,0)</f>
        <v>0</v>
      </c>
      <c r="C56" s="111">
        <f>IF($C$3=0," ",HLOOKUP($C$3,Nama_Middle,21,0))</f>
        <v>0</v>
      </c>
      <c r="D56" s="124"/>
      <c r="E56" s="124"/>
      <c r="F56" s="117">
        <v>20</v>
      </c>
    </row>
    <row r="57" spans="1:23" hidden="1" x14ac:dyDescent="0.2">
      <c r="A57" s="114">
        <f t="shared" si="43"/>
        <v>21</v>
      </c>
      <c r="B57" s="110">
        <f>HLOOKUP($C$3,No_Middle,22,0)</f>
        <v>0</v>
      </c>
      <c r="C57" s="111">
        <f>IF($C$3=0," ",HLOOKUP($C$3,Nama_Middle,22,0))</f>
        <v>0</v>
      </c>
      <c r="D57" s="124"/>
      <c r="E57" s="124"/>
      <c r="F57" s="117">
        <v>21</v>
      </c>
    </row>
    <row r="58" spans="1:23" hidden="1" x14ac:dyDescent="0.2">
      <c r="A58" s="114">
        <f t="shared" si="43"/>
        <v>22</v>
      </c>
      <c r="B58" s="110">
        <f>HLOOKUP($C$3,No_Middle,23,0)</f>
        <v>0</v>
      </c>
      <c r="C58" s="111">
        <f>IF($C$3=0," ",HLOOKUP($C$3,Nama_Middle,23,0))</f>
        <v>0</v>
      </c>
      <c r="D58" s="124"/>
      <c r="E58" s="124"/>
      <c r="F58" s="117">
        <v>22</v>
      </c>
    </row>
    <row r="59" spans="1:23" hidden="1" x14ac:dyDescent="0.2">
      <c r="A59" s="114">
        <f t="shared" si="43"/>
        <v>23</v>
      </c>
      <c r="B59" s="110">
        <f>HLOOKUP($C$3,No_Middle,24,0)</f>
        <v>0</v>
      </c>
      <c r="C59" s="111">
        <f>IF($C$3=0," ",HLOOKUP($C$3,Nama_Middle,24,0))</f>
        <v>0</v>
      </c>
      <c r="D59" s="124"/>
      <c r="E59" s="124"/>
      <c r="F59" s="117">
        <v>23</v>
      </c>
    </row>
    <row r="60" spans="1:23" hidden="1" x14ac:dyDescent="0.2">
      <c r="A60" s="114">
        <v>24</v>
      </c>
      <c r="B60" s="129">
        <f>HLOOKUP($C$3,No_Middle,25,0)</f>
        <v>0</v>
      </c>
      <c r="C60" s="111">
        <f>IF($C$3=0," ",HLOOKUP($C$3,Nama_Middle,25,0))</f>
        <v>0</v>
      </c>
      <c r="D60" s="124"/>
      <c r="E60" s="124"/>
      <c r="F60" s="158">
        <v>24</v>
      </c>
    </row>
    <row r="61" spans="1:23" hidden="1" x14ac:dyDescent="0.2">
      <c r="A61" s="114">
        <v>25</v>
      </c>
      <c r="B61" s="129">
        <f>HLOOKUP($C$3,No_Middle,26,0)</f>
        <v>0</v>
      </c>
      <c r="C61" s="111">
        <f>IF($C$3=0," ",HLOOKUP($C$3,Nama_Middle,26,0))</f>
        <v>0</v>
      </c>
      <c r="D61" s="124"/>
      <c r="E61" s="124"/>
      <c r="F61" s="117">
        <v>25</v>
      </c>
    </row>
    <row r="62" spans="1:23" x14ac:dyDescent="0.2">
      <c r="A62" s="165"/>
      <c r="B62" s="166"/>
      <c r="C62" s="167"/>
      <c r="D62" s="124"/>
      <c r="E62" s="124"/>
      <c r="F62" s="158"/>
    </row>
    <row r="63" spans="1:23" x14ac:dyDescent="0.2">
      <c r="A63" s="165"/>
      <c r="B63" s="166"/>
      <c r="C63" s="167"/>
      <c r="D63" s="124"/>
      <c r="E63" s="124"/>
      <c r="F63" s="158"/>
    </row>
    <row r="64" spans="1:23" ht="15" x14ac:dyDescent="0.25">
      <c r="C64" s="139" t="s">
        <v>147</v>
      </c>
      <c r="D64" s="140" t="e">
        <f>AVERAGE(D8:D32)</f>
        <v>#DIV/0!</v>
      </c>
      <c r="E64" s="140" t="e">
        <f t="shared" ref="E64:Q64" si="44">AVERAGE(E8:E32)</f>
        <v>#DIV/0!</v>
      </c>
      <c r="F64" s="140" t="e">
        <f t="shared" si="44"/>
        <v>#DIV/0!</v>
      </c>
      <c r="G64" s="140" t="e">
        <f t="shared" si="44"/>
        <v>#DIV/0!</v>
      </c>
      <c r="H64" s="140" t="e">
        <f t="shared" si="44"/>
        <v>#DIV/0!</v>
      </c>
      <c r="I64" s="140" t="e">
        <f t="shared" si="44"/>
        <v>#DIV/0!</v>
      </c>
      <c r="J64" s="140" t="e">
        <f t="shared" si="44"/>
        <v>#DIV/0!</v>
      </c>
      <c r="K64" s="140" t="e">
        <f t="shared" si="44"/>
        <v>#DIV/0!</v>
      </c>
      <c r="L64" s="140" t="e">
        <f t="shared" si="44"/>
        <v>#DIV/0!</v>
      </c>
      <c r="M64" s="140" t="e">
        <f t="shared" si="44"/>
        <v>#DIV/0!</v>
      </c>
      <c r="N64" s="140" t="e">
        <f t="shared" si="44"/>
        <v>#DIV/0!</v>
      </c>
      <c r="O64" s="140" t="e">
        <f t="shared" si="44"/>
        <v>#DIV/0!</v>
      </c>
      <c r="P64" s="140" t="e">
        <f t="shared" si="44"/>
        <v>#DIV/0!</v>
      </c>
      <c r="Q64" s="140" t="e">
        <f t="shared" si="44"/>
        <v>#DIV/0!</v>
      </c>
    </row>
    <row r="65" spans="2:23" ht="15" x14ac:dyDescent="0.25">
      <c r="C65" s="139" t="s">
        <v>232</v>
      </c>
      <c r="D65" s="116">
        <f>MAX(D8:D32)</f>
        <v>0</v>
      </c>
      <c r="E65" s="116">
        <f t="shared" ref="E65:Q65" si="45">MAX(E8:E32)</f>
        <v>0</v>
      </c>
      <c r="F65" s="116">
        <f t="shared" si="45"/>
        <v>0</v>
      </c>
      <c r="G65" s="116">
        <f t="shared" si="45"/>
        <v>0</v>
      </c>
      <c r="H65" s="116">
        <f t="shared" si="45"/>
        <v>0</v>
      </c>
      <c r="I65" s="116">
        <f t="shared" si="45"/>
        <v>0</v>
      </c>
      <c r="J65" s="116">
        <f t="shared" si="45"/>
        <v>0</v>
      </c>
      <c r="K65" s="116">
        <f t="shared" si="45"/>
        <v>0</v>
      </c>
      <c r="L65" s="116">
        <f t="shared" si="45"/>
        <v>0</v>
      </c>
      <c r="M65" s="116">
        <f t="shared" si="45"/>
        <v>0</v>
      </c>
      <c r="N65" s="116">
        <f t="shared" si="45"/>
        <v>0</v>
      </c>
      <c r="O65" s="116">
        <f t="shared" si="45"/>
        <v>0</v>
      </c>
      <c r="P65" s="116">
        <f t="shared" si="45"/>
        <v>0</v>
      </c>
      <c r="Q65" s="116">
        <f t="shared" si="45"/>
        <v>0</v>
      </c>
    </row>
    <row r="66" spans="2:23" ht="15" x14ac:dyDescent="0.25">
      <c r="C66" s="139" t="s">
        <v>233</v>
      </c>
      <c r="D66" s="116">
        <f>MIN(D8:D32)</f>
        <v>0</v>
      </c>
      <c r="E66" s="116">
        <f t="shared" ref="E66:Q66" si="46">MIN(E8:E32)</f>
        <v>0</v>
      </c>
      <c r="F66" s="116">
        <f t="shared" si="46"/>
        <v>0</v>
      </c>
      <c r="G66" s="116">
        <f t="shared" si="46"/>
        <v>0</v>
      </c>
      <c r="H66" s="116">
        <f t="shared" si="46"/>
        <v>0</v>
      </c>
      <c r="I66" s="116">
        <f t="shared" si="46"/>
        <v>0</v>
      </c>
      <c r="J66" s="116">
        <f t="shared" si="46"/>
        <v>0</v>
      </c>
      <c r="K66" s="116">
        <f t="shared" si="46"/>
        <v>0</v>
      </c>
      <c r="L66" s="116">
        <f t="shared" si="46"/>
        <v>0</v>
      </c>
      <c r="M66" s="116">
        <f t="shared" si="46"/>
        <v>0</v>
      </c>
      <c r="N66" s="116">
        <f t="shared" si="46"/>
        <v>0</v>
      </c>
      <c r="O66" s="116">
        <f t="shared" si="46"/>
        <v>0</v>
      </c>
      <c r="P66" s="116">
        <f t="shared" si="46"/>
        <v>0</v>
      </c>
      <c r="Q66" s="116">
        <f t="shared" si="46"/>
        <v>0</v>
      </c>
    </row>
    <row r="67" spans="2:23" ht="15" x14ac:dyDescent="0.25">
      <c r="C67" s="139" t="s">
        <v>244</v>
      </c>
      <c r="D67" s="116">
        <f>$W$34-D68</f>
        <v>19</v>
      </c>
      <c r="E67" s="116">
        <f t="shared" ref="E67:Q67" si="47">$W$34-E68</f>
        <v>19</v>
      </c>
      <c r="F67" s="116">
        <f t="shared" si="47"/>
        <v>19</v>
      </c>
      <c r="G67" s="116">
        <f t="shared" si="47"/>
        <v>19</v>
      </c>
      <c r="H67" s="116">
        <f t="shared" si="47"/>
        <v>19</v>
      </c>
      <c r="I67" s="116">
        <f t="shared" si="47"/>
        <v>19</v>
      </c>
      <c r="J67" s="116">
        <f t="shared" si="47"/>
        <v>19</v>
      </c>
      <c r="K67" s="116">
        <f t="shared" si="47"/>
        <v>19</v>
      </c>
      <c r="L67" s="116">
        <f t="shared" si="47"/>
        <v>19</v>
      </c>
      <c r="M67" s="116">
        <f t="shared" si="47"/>
        <v>19</v>
      </c>
      <c r="N67" s="116">
        <f t="shared" si="47"/>
        <v>19</v>
      </c>
      <c r="O67" s="116">
        <f t="shared" si="47"/>
        <v>19</v>
      </c>
      <c r="P67" s="116">
        <f t="shared" si="47"/>
        <v>19</v>
      </c>
      <c r="Q67" s="116">
        <f t="shared" si="47"/>
        <v>19</v>
      </c>
    </row>
    <row r="68" spans="2:23" ht="15" x14ac:dyDescent="0.25">
      <c r="C68" s="139" t="s">
        <v>245</v>
      </c>
      <c r="D68" s="4">
        <f>W33</f>
        <v>0</v>
      </c>
      <c r="E68" s="4">
        <f t="shared" ref="E68:Q68" si="48">X33</f>
        <v>0</v>
      </c>
      <c r="F68" s="4">
        <f t="shared" si="48"/>
        <v>0</v>
      </c>
      <c r="G68" s="4">
        <f t="shared" si="48"/>
        <v>0</v>
      </c>
      <c r="H68" s="4">
        <f t="shared" si="48"/>
        <v>0</v>
      </c>
      <c r="I68" s="4">
        <f t="shared" si="48"/>
        <v>0</v>
      </c>
      <c r="J68" s="4">
        <f t="shared" si="48"/>
        <v>0</v>
      </c>
      <c r="K68" s="4">
        <f t="shared" si="48"/>
        <v>0</v>
      </c>
      <c r="L68" s="4">
        <f t="shared" si="48"/>
        <v>0</v>
      </c>
      <c r="M68" s="4">
        <f t="shared" si="48"/>
        <v>0</v>
      </c>
      <c r="N68" s="4">
        <f t="shared" si="48"/>
        <v>0</v>
      </c>
      <c r="O68" s="4">
        <f t="shared" si="48"/>
        <v>0</v>
      </c>
      <c r="P68" s="4">
        <f t="shared" si="48"/>
        <v>0</v>
      </c>
      <c r="Q68" s="4">
        <f t="shared" si="48"/>
        <v>0</v>
      </c>
    </row>
    <row r="69" spans="2:23" ht="15" x14ac:dyDescent="0.25">
      <c r="C69" s="141" t="s">
        <v>234</v>
      </c>
      <c r="D69" s="142">
        <f>D67/$W$34</f>
        <v>1</v>
      </c>
      <c r="E69" s="142">
        <f t="shared" ref="E69:Q69" si="49">E67/$W$34</f>
        <v>1</v>
      </c>
      <c r="F69" s="142">
        <f t="shared" si="49"/>
        <v>1</v>
      </c>
      <c r="G69" s="142">
        <f t="shared" si="49"/>
        <v>1</v>
      </c>
      <c r="H69" s="142">
        <f t="shared" si="49"/>
        <v>1</v>
      </c>
      <c r="I69" s="142">
        <f t="shared" si="49"/>
        <v>1</v>
      </c>
      <c r="J69" s="142">
        <f t="shared" si="49"/>
        <v>1</v>
      </c>
      <c r="K69" s="142">
        <f t="shared" si="49"/>
        <v>1</v>
      </c>
      <c r="L69" s="142">
        <f t="shared" si="49"/>
        <v>1</v>
      </c>
      <c r="M69" s="142">
        <f t="shared" si="49"/>
        <v>1</v>
      </c>
      <c r="N69" s="142">
        <f t="shared" si="49"/>
        <v>1</v>
      </c>
      <c r="O69" s="142">
        <f t="shared" si="49"/>
        <v>1</v>
      </c>
      <c r="P69" s="142">
        <f t="shared" si="49"/>
        <v>1</v>
      </c>
      <c r="Q69" s="142">
        <f t="shared" si="49"/>
        <v>1</v>
      </c>
    </row>
    <row r="72" spans="2:23" x14ac:dyDescent="0.2">
      <c r="B72" s="126" t="s">
        <v>239</v>
      </c>
      <c r="R72" s="157" t="str">
        <f>Cover!K19</f>
        <v xml:space="preserve">Jakarta, </v>
      </c>
      <c r="S72" s="143"/>
      <c r="T72" s="143"/>
      <c r="U72" s="143"/>
      <c r="V72" s="143"/>
      <c r="W72" s="143"/>
    </row>
    <row r="73" spans="2:23" x14ac:dyDescent="0.2">
      <c r="B73" s="126" t="s">
        <v>255</v>
      </c>
      <c r="R73" s="126" t="s">
        <v>263</v>
      </c>
    </row>
    <row r="78" spans="2:23" x14ac:dyDescent="0.2">
      <c r="B78" s="186" t="s">
        <v>262</v>
      </c>
      <c r="C78" s="186"/>
      <c r="D78" s="144"/>
      <c r="E78" s="144"/>
      <c r="F78" s="144"/>
      <c r="R78" s="187">
        <f>Cover!D17</f>
        <v>0</v>
      </c>
      <c r="S78" s="187"/>
      <c r="T78" s="187"/>
      <c r="U78" s="187"/>
      <c r="V78" s="146"/>
      <c r="W78" s="146"/>
    </row>
  </sheetData>
  <sheetProtection password="C71F" sheet="1" objects="1" scenarios="1" formatColumns="0"/>
  <mergeCells count="14">
    <mergeCell ref="A1:U1"/>
    <mergeCell ref="A5:A7"/>
    <mergeCell ref="S5:S7"/>
    <mergeCell ref="T5:T7"/>
    <mergeCell ref="U5:U7"/>
    <mergeCell ref="R3:S3"/>
    <mergeCell ref="T3:U3"/>
    <mergeCell ref="B78:C78"/>
    <mergeCell ref="R78:U78"/>
    <mergeCell ref="R5:R7"/>
    <mergeCell ref="D36:E36"/>
    <mergeCell ref="D5:Q5"/>
    <mergeCell ref="C5:C7"/>
    <mergeCell ref="B5:B7"/>
  </mergeCells>
  <conditionalFormatting sqref="D64:Q66">
    <cfRule type="cellIs" dxfId="2" priority="3" operator="lessThan">
      <formula>70</formula>
    </cfRule>
  </conditionalFormatting>
  <conditionalFormatting sqref="D69:Q69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paperSize="9" scale="59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5"/>
  <sheetViews>
    <sheetView showGridLines="0" workbookViewId="0">
      <selection activeCell="K18" sqref="K18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9.140625" style="1"/>
    <col min="14" max="21" width="4.7109375" style="1" hidden="1" customWidth="1"/>
    <col min="22" max="16384" width="9.140625" style="1"/>
  </cols>
  <sheetData>
    <row r="2" spans="1:21" ht="45.75" x14ac:dyDescent="0.65">
      <c r="B2" s="207" t="s">
        <v>148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4" spans="1:21" ht="18.75" x14ac:dyDescent="0.3">
      <c r="B4" s="154" t="s">
        <v>146</v>
      </c>
      <c r="C4" s="155" t="str">
        <f>Cover!K18</f>
        <v>12 Science 2</v>
      </c>
    </row>
    <row r="6" spans="1:21" ht="26.25" x14ac:dyDescent="0.4">
      <c r="A6" s="211" t="s">
        <v>225</v>
      </c>
      <c r="B6" s="208" t="s">
        <v>130</v>
      </c>
      <c r="C6" s="208" t="s">
        <v>0</v>
      </c>
      <c r="D6" s="209" t="s">
        <v>168</v>
      </c>
      <c r="E6" s="209"/>
      <c r="F6" s="209"/>
      <c r="G6" s="209"/>
      <c r="H6" s="209"/>
      <c r="I6" s="209"/>
      <c r="J6" s="209"/>
      <c r="K6" s="209"/>
      <c r="L6" s="210" t="s">
        <v>147</v>
      </c>
    </row>
    <row r="7" spans="1:21" x14ac:dyDescent="0.2">
      <c r="A7" s="211"/>
      <c r="B7" s="208"/>
      <c r="C7" s="208"/>
      <c r="D7" s="130" t="s">
        <v>44</v>
      </c>
      <c r="E7" s="130" t="s">
        <v>45</v>
      </c>
      <c r="F7" s="130" t="s">
        <v>46</v>
      </c>
      <c r="G7" s="130" t="s">
        <v>47</v>
      </c>
      <c r="H7" s="130" t="s">
        <v>157</v>
      </c>
      <c r="I7" s="130" t="s">
        <v>48</v>
      </c>
      <c r="J7" s="130" t="s">
        <v>49</v>
      </c>
      <c r="K7" s="130" t="s">
        <v>50</v>
      </c>
      <c r="L7" s="210"/>
      <c r="N7" s="6" t="s">
        <v>164</v>
      </c>
      <c r="O7" s="6" t="s">
        <v>165</v>
      </c>
      <c r="P7" s="6" t="s">
        <v>166</v>
      </c>
      <c r="Q7" s="6" t="s">
        <v>159</v>
      </c>
      <c r="R7" s="6" t="s">
        <v>160</v>
      </c>
      <c r="S7" s="6" t="s">
        <v>161</v>
      </c>
      <c r="T7" s="6" t="s">
        <v>162</v>
      </c>
      <c r="U7" s="6" t="s">
        <v>163</v>
      </c>
    </row>
    <row r="8" spans="1:21" x14ac:dyDescent="0.2">
      <c r="A8" s="114">
        <f>Academic!A8</f>
        <v>1</v>
      </c>
      <c r="B8" s="114">
        <f>Academic!B8</f>
        <v>0</v>
      </c>
      <c r="C8" s="115" t="str">
        <f>Academic!C8</f>
        <v>ADRIAN REYNARD SUTANTO</v>
      </c>
      <c r="D8" s="112"/>
      <c r="E8" s="112"/>
      <c r="F8" s="112"/>
      <c r="G8" s="112"/>
      <c r="H8" s="112"/>
      <c r="I8" s="112"/>
      <c r="J8" s="112"/>
      <c r="K8" s="112"/>
      <c r="L8" s="113" t="str">
        <f>IF(SUM(D8:K8)=0," ",ROUND(AVERAGE(D8:K8),0))</f>
        <v xml:space="preserve"> </v>
      </c>
      <c r="N8" s="7" t="str">
        <f>IF(D8&gt;=4,"A",IF(D8&gt;=3,"B",IF(D8&gt;=2,"C",IF(D8&gt;=1,"D","E"))))</f>
        <v>E</v>
      </c>
      <c r="O8" s="116" t="str">
        <f t="shared" ref="O8:U8" si="0">IF(E8&gt;=4,"A",IF(E8&gt;=3,"B",IF(E8&gt;=2,"C",IF(E8&gt;=1,"D","E"))))</f>
        <v>E</v>
      </c>
      <c r="P8" s="116" t="str">
        <f t="shared" si="0"/>
        <v>E</v>
      </c>
      <c r="Q8" s="116" t="str">
        <f t="shared" si="0"/>
        <v>E</v>
      </c>
      <c r="R8" s="116" t="str">
        <f t="shared" si="0"/>
        <v>E</v>
      </c>
      <c r="S8" s="116" t="str">
        <f t="shared" si="0"/>
        <v>E</v>
      </c>
      <c r="T8" s="116" t="str">
        <f t="shared" si="0"/>
        <v>E</v>
      </c>
      <c r="U8" s="116" t="str">
        <f t="shared" si="0"/>
        <v>E</v>
      </c>
    </row>
    <row r="9" spans="1:21" x14ac:dyDescent="0.2">
      <c r="A9" s="114">
        <f>Academic!A9</f>
        <v>2</v>
      </c>
      <c r="B9" s="114">
        <f>Academic!B9</f>
        <v>0</v>
      </c>
      <c r="C9" s="115" t="str">
        <f>Academic!C9</f>
        <v>ALVYN</v>
      </c>
      <c r="D9" s="112"/>
      <c r="E9" s="112"/>
      <c r="F9" s="112"/>
      <c r="G9" s="112"/>
      <c r="H9" s="112"/>
      <c r="I9" s="112"/>
      <c r="J9" s="112"/>
      <c r="K9" s="112"/>
      <c r="L9" s="113" t="str">
        <f t="shared" ref="L9:L32" si="1">IF(SUM(D9:K9)=0," ",ROUND(AVERAGE(D9:K9),0))</f>
        <v xml:space="preserve"> </v>
      </c>
      <c r="N9" s="116" t="str">
        <f t="shared" ref="N9:N32" si="2">IF(D9&gt;=4,"A",IF(D9&gt;=3,"B",IF(D9&gt;=2,"C",IF(D9&gt;=1,"D","E"))))</f>
        <v>E</v>
      </c>
      <c r="O9" s="116" t="str">
        <f t="shared" ref="O9:O32" si="3">IF(E9&gt;=4,"A",IF(E9&gt;=3,"B",IF(E9&gt;=2,"C",IF(E9&gt;=1,"D","E"))))</f>
        <v>E</v>
      </c>
      <c r="P9" s="116" t="str">
        <f t="shared" ref="P9:P32" si="4">IF(F9&gt;=4,"A",IF(F9&gt;=3,"B",IF(F9&gt;=2,"C",IF(F9&gt;=1,"D","E"))))</f>
        <v>E</v>
      </c>
      <c r="Q9" s="116" t="str">
        <f t="shared" ref="Q9:Q32" si="5">IF(G9&gt;=4,"A",IF(G9&gt;=3,"B",IF(G9&gt;=2,"C",IF(G9&gt;=1,"D","E"))))</f>
        <v>E</v>
      </c>
      <c r="R9" s="116" t="str">
        <f t="shared" ref="R9:R32" si="6">IF(H9&gt;=4,"A",IF(H9&gt;=3,"B",IF(H9&gt;=2,"C",IF(H9&gt;=1,"D","E"))))</f>
        <v>E</v>
      </c>
      <c r="S9" s="116" t="str">
        <f t="shared" ref="S9:S32" si="7">IF(I9&gt;=4,"A",IF(I9&gt;=3,"B",IF(I9&gt;=2,"C",IF(I9&gt;=1,"D","E"))))</f>
        <v>E</v>
      </c>
      <c r="T9" s="116" t="str">
        <f t="shared" ref="T9:T32" si="8">IF(J9&gt;=4,"A",IF(J9&gt;=3,"B",IF(J9&gt;=2,"C",IF(J9&gt;=1,"D","E"))))</f>
        <v>E</v>
      </c>
      <c r="U9" s="116" t="str">
        <f t="shared" ref="U9:U32" si="9">IF(K9&gt;=4,"A",IF(K9&gt;=3,"B",IF(K9&gt;=2,"C",IF(K9&gt;=1,"D","E"))))</f>
        <v>E</v>
      </c>
    </row>
    <row r="10" spans="1:21" x14ac:dyDescent="0.2">
      <c r="A10" s="114">
        <f>Academic!A10</f>
        <v>3</v>
      </c>
      <c r="B10" s="114">
        <f>Academic!B10</f>
        <v>0</v>
      </c>
      <c r="C10" s="115" t="str">
        <f>Academic!C10</f>
        <v>ANDREW IVAN SOEGENG</v>
      </c>
      <c r="D10" s="112"/>
      <c r="E10" s="112"/>
      <c r="F10" s="112"/>
      <c r="G10" s="112"/>
      <c r="H10" s="112"/>
      <c r="I10" s="112"/>
      <c r="J10" s="112"/>
      <c r="K10" s="112"/>
      <c r="L10" s="113" t="str">
        <f t="shared" si="1"/>
        <v xml:space="preserve"> </v>
      </c>
      <c r="N10" s="116" t="str">
        <f t="shared" si="2"/>
        <v>E</v>
      </c>
      <c r="O10" s="116" t="str">
        <f t="shared" si="3"/>
        <v>E</v>
      </c>
      <c r="P10" s="116" t="str">
        <f t="shared" si="4"/>
        <v>E</v>
      </c>
      <c r="Q10" s="116" t="str">
        <f t="shared" si="5"/>
        <v>E</v>
      </c>
      <c r="R10" s="116" t="str">
        <f t="shared" si="6"/>
        <v>E</v>
      </c>
      <c r="S10" s="116" t="str">
        <f t="shared" si="7"/>
        <v>E</v>
      </c>
      <c r="T10" s="116" t="str">
        <f t="shared" si="8"/>
        <v>E</v>
      </c>
      <c r="U10" s="116" t="str">
        <f t="shared" si="9"/>
        <v>E</v>
      </c>
    </row>
    <row r="11" spans="1:21" x14ac:dyDescent="0.2">
      <c r="A11" s="114">
        <f>Academic!A11</f>
        <v>4</v>
      </c>
      <c r="B11" s="114">
        <f>Academic!B11</f>
        <v>0</v>
      </c>
      <c r="C11" s="115" t="str">
        <f>Academic!C11</f>
        <v>ARSENIUS DAVIN</v>
      </c>
      <c r="D11" s="112"/>
      <c r="E11" s="112"/>
      <c r="F11" s="112"/>
      <c r="G11" s="112"/>
      <c r="H11" s="112"/>
      <c r="I11" s="112"/>
      <c r="J11" s="112"/>
      <c r="K11" s="112"/>
      <c r="L11" s="113" t="str">
        <f t="shared" si="1"/>
        <v xml:space="preserve"> </v>
      </c>
      <c r="N11" s="116" t="str">
        <f t="shared" si="2"/>
        <v>E</v>
      </c>
      <c r="O11" s="116" t="str">
        <f t="shared" si="3"/>
        <v>E</v>
      </c>
      <c r="P11" s="116" t="str">
        <f t="shared" si="4"/>
        <v>E</v>
      </c>
      <c r="Q11" s="116" t="str">
        <f t="shared" si="5"/>
        <v>E</v>
      </c>
      <c r="R11" s="116" t="str">
        <f t="shared" si="6"/>
        <v>E</v>
      </c>
      <c r="S11" s="116" t="str">
        <f t="shared" si="7"/>
        <v>E</v>
      </c>
      <c r="T11" s="116" t="str">
        <f t="shared" si="8"/>
        <v>E</v>
      </c>
      <c r="U11" s="116" t="str">
        <f t="shared" si="9"/>
        <v>E</v>
      </c>
    </row>
    <row r="12" spans="1:21" x14ac:dyDescent="0.2">
      <c r="A12" s="114">
        <f>Academic!A12</f>
        <v>5</v>
      </c>
      <c r="B12" s="114">
        <f>Academic!B12</f>
        <v>0</v>
      </c>
      <c r="C12" s="115" t="str">
        <f>Academic!C12</f>
        <v>BENEDICTUS LEONARDUS TAMIN</v>
      </c>
      <c r="D12" s="112"/>
      <c r="E12" s="112"/>
      <c r="F12" s="112"/>
      <c r="G12" s="112"/>
      <c r="H12" s="112"/>
      <c r="I12" s="112"/>
      <c r="J12" s="112"/>
      <c r="K12" s="112"/>
      <c r="L12" s="113" t="str">
        <f t="shared" si="1"/>
        <v xml:space="preserve"> </v>
      </c>
      <c r="N12" s="116" t="str">
        <f t="shared" si="2"/>
        <v>E</v>
      </c>
      <c r="O12" s="116" t="str">
        <f t="shared" si="3"/>
        <v>E</v>
      </c>
      <c r="P12" s="116" t="str">
        <f t="shared" si="4"/>
        <v>E</v>
      </c>
      <c r="Q12" s="116" t="str">
        <f t="shared" si="5"/>
        <v>E</v>
      </c>
      <c r="R12" s="116" t="str">
        <f t="shared" si="6"/>
        <v>E</v>
      </c>
      <c r="S12" s="116" t="str">
        <f t="shared" si="7"/>
        <v>E</v>
      </c>
      <c r="T12" s="116" t="str">
        <f t="shared" si="8"/>
        <v>E</v>
      </c>
      <c r="U12" s="116" t="str">
        <f t="shared" si="9"/>
        <v>E</v>
      </c>
    </row>
    <row r="13" spans="1:21" x14ac:dyDescent="0.2">
      <c r="A13" s="114">
        <f>Academic!A13</f>
        <v>6</v>
      </c>
      <c r="B13" s="114">
        <f>Academic!B13</f>
        <v>0</v>
      </c>
      <c r="C13" s="115" t="str">
        <f>Academic!C13</f>
        <v>BRAZALI WIRANATA</v>
      </c>
      <c r="D13" s="112"/>
      <c r="E13" s="112"/>
      <c r="F13" s="112"/>
      <c r="G13" s="112"/>
      <c r="H13" s="112"/>
      <c r="I13" s="112"/>
      <c r="J13" s="112"/>
      <c r="K13" s="112"/>
      <c r="L13" s="113" t="str">
        <f t="shared" si="1"/>
        <v xml:space="preserve"> </v>
      </c>
      <c r="N13" s="116" t="str">
        <f t="shared" si="2"/>
        <v>E</v>
      </c>
      <c r="O13" s="116" t="str">
        <f t="shared" si="3"/>
        <v>E</v>
      </c>
      <c r="P13" s="116" t="str">
        <f t="shared" si="4"/>
        <v>E</v>
      </c>
      <c r="Q13" s="116" t="str">
        <f t="shared" si="5"/>
        <v>E</v>
      </c>
      <c r="R13" s="116" t="str">
        <f t="shared" si="6"/>
        <v>E</v>
      </c>
      <c r="S13" s="116" t="str">
        <f t="shared" si="7"/>
        <v>E</v>
      </c>
      <c r="T13" s="116" t="str">
        <f t="shared" si="8"/>
        <v>E</v>
      </c>
      <c r="U13" s="116" t="str">
        <f t="shared" si="9"/>
        <v>E</v>
      </c>
    </row>
    <row r="14" spans="1:21" x14ac:dyDescent="0.2">
      <c r="A14" s="114">
        <f>Academic!A14</f>
        <v>7</v>
      </c>
      <c r="B14" s="114">
        <f>Academic!B14</f>
        <v>0</v>
      </c>
      <c r="C14" s="115" t="str">
        <f>Academic!C14</f>
        <v>CHRISTOPHER</v>
      </c>
      <c r="D14" s="112"/>
      <c r="E14" s="112"/>
      <c r="F14" s="112"/>
      <c r="G14" s="112"/>
      <c r="H14" s="112"/>
      <c r="I14" s="112"/>
      <c r="J14" s="112"/>
      <c r="K14" s="112"/>
      <c r="L14" s="113" t="str">
        <f t="shared" si="1"/>
        <v xml:space="preserve"> </v>
      </c>
      <c r="N14" s="116" t="str">
        <f t="shared" si="2"/>
        <v>E</v>
      </c>
      <c r="O14" s="116" t="str">
        <f t="shared" si="3"/>
        <v>E</v>
      </c>
      <c r="P14" s="116" t="str">
        <f t="shared" si="4"/>
        <v>E</v>
      </c>
      <c r="Q14" s="116" t="str">
        <f t="shared" si="5"/>
        <v>E</v>
      </c>
      <c r="R14" s="116" t="str">
        <f t="shared" si="6"/>
        <v>E</v>
      </c>
      <c r="S14" s="116" t="str">
        <f t="shared" si="7"/>
        <v>E</v>
      </c>
      <c r="T14" s="116" t="str">
        <f t="shared" si="8"/>
        <v>E</v>
      </c>
      <c r="U14" s="116" t="str">
        <f t="shared" si="9"/>
        <v>E</v>
      </c>
    </row>
    <row r="15" spans="1:21" x14ac:dyDescent="0.2">
      <c r="A15" s="114">
        <f>Academic!A15</f>
        <v>8</v>
      </c>
      <c r="B15" s="114">
        <f>Academic!B15</f>
        <v>0</v>
      </c>
      <c r="C15" s="115" t="str">
        <f>Academic!C15</f>
        <v>GABRIELA ANSEL TJIPUTRA</v>
      </c>
      <c r="D15" s="112"/>
      <c r="E15" s="112"/>
      <c r="F15" s="112"/>
      <c r="G15" s="112"/>
      <c r="H15" s="112"/>
      <c r="I15" s="112"/>
      <c r="J15" s="112"/>
      <c r="K15" s="112"/>
      <c r="L15" s="113" t="str">
        <f t="shared" si="1"/>
        <v xml:space="preserve"> </v>
      </c>
      <c r="N15" s="116" t="str">
        <f t="shared" si="2"/>
        <v>E</v>
      </c>
      <c r="O15" s="116" t="str">
        <f t="shared" si="3"/>
        <v>E</v>
      </c>
      <c r="P15" s="116" t="str">
        <f t="shared" si="4"/>
        <v>E</v>
      </c>
      <c r="Q15" s="116" t="str">
        <f t="shared" si="5"/>
        <v>E</v>
      </c>
      <c r="R15" s="116" t="str">
        <f t="shared" si="6"/>
        <v>E</v>
      </c>
      <c r="S15" s="116" t="str">
        <f t="shared" si="7"/>
        <v>E</v>
      </c>
      <c r="T15" s="116" t="str">
        <f t="shared" si="8"/>
        <v>E</v>
      </c>
      <c r="U15" s="116" t="str">
        <f t="shared" si="9"/>
        <v>E</v>
      </c>
    </row>
    <row r="16" spans="1:21" x14ac:dyDescent="0.2">
      <c r="A16" s="114">
        <f>Academic!A16</f>
        <v>9</v>
      </c>
      <c r="B16" s="114">
        <f>Academic!B16</f>
        <v>0</v>
      </c>
      <c r="C16" s="115" t="str">
        <f>Academic!C16</f>
        <v>GERHARD LUKITA</v>
      </c>
      <c r="D16" s="112"/>
      <c r="E16" s="112"/>
      <c r="F16" s="112"/>
      <c r="G16" s="112"/>
      <c r="H16" s="112"/>
      <c r="I16" s="112"/>
      <c r="J16" s="112"/>
      <c r="K16" s="112"/>
      <c r="L16" s="113" t="str">
        <f t="shared" si="1"/>
        <v xml:space="preserve"> </v>
      </c>
      <c r="N16" s="116" t="str">
        <f t="shared" si="2"/>
        <v>E</v>
      </c>
      <c r="O16" s="116" t="str">
        <f t="shared" si="3"/>
        <v>E</v>
      </c>
      <c r="P16" s="116" t="str">
        <f t="shared" si="4"/>
        <v>E</v>
      </c>
      <c r="Q16" s="116" t="str">
        <f t="shared" si="5"/>
        <v>E</v>
      </c>
      <c r="R16" s="116" t="str">
        <f t="shared" si="6"/>
        <v>E</v>
      </c>
      <c r="S16" s="116" t="str">
        <f t="shared" si="7"/>
        <v>E</v>
      </c>
      <c r="T16" s="116" t="str">
        <f t="shared" si="8"/>
        <v>E</v>
      </c>
      <c r="U16" s="116" t="str">
        <f t="shared" si="9"/>
        <v>E</v>
      </c>
    </row>
    <row r="17" spans="1:21" x14ac:dyDescent="0.2">
      <c r="A17" s="114">
        <f>Academic!A17</f>
        <v>10</v>
      </c>
      <c r="B17" s="114">
        <f>Academic!B17</f>
        <v>0</v>
      </c>
      <c r="C17" s="115" t="str">
        <f>Academic!C17</f>
        <v>JESSICA CLARABELLA CHRISTIANNA</v>
      </c>
      <c r="D17" s="112"/>
      <c r="E17" s="112"/>
      <c r="F17" s="112"/>
      <c r="G17" s="112"/>
      <c r="H17" s="112"/>
      <c r="I17" s="112"/>
      <c r="J17" s="112"/>
      <c r="K17" s="112"/>
      <c r="L17" s="113" t="str">
        <f t="shared" si="1"/>
        <v xml:space="preserve"> </v>
      </c>
      <c r="N17" s="116" t="str">
        <f t="shared" si="2"/>
        <v>E</v>
      </c>
      <c r="O17" s="116" t="str">
        <f t="shared" si="3"/>
        <v>E</v>
      </c>
      <c r="P17" s="116" t="str">
        <f t="shared" si="4"/>
        <v>E</v>
      </c>
      <c r="Q17" s="116" t="str">
        <f t="shared" si="5"/>
        <v>E</v>
      </c>
      <c r="R17" s="116" t="str">
        <f t="shared" si="6"/>
        <v>E</v>
      </c>
      <c r="S17" s="116" t="str">
        <f t="shared" si="7"/>
        <v>E</v>
      </c>
      <c r="T17" s="116" t="str">
        <f t="shared" si="8"/>
        <v>E</v>
      </c>
      <c r="U17" s="116" t="str">
        <f t="shared" si="9"/>
        <v>E</v>
      </c>
    </row>
    <row r="18" spans="1:21" x14ac:dyDescent="0.2">
      <c r="A18" s="114">
        <f>Academic!A18</f>
        <v>11</v>
      </c>
      <c r="B18" s="114">
        <f>Academic!B18</f>
        <v>0</v>
      </c>
      <c r="C18" s="115" t="str">
        <f>Academic!C18</f>
        <v>JEREMY HARIMAUWAN</v>
      </c>
      <c r="D18" s="112"/>
      <c r="E18" s="112"/>
      <c r="F18" s="112"/>
      <c r="G18" s="112"/>
      <c r="H18" s="112"/>
      <c r="I18" s="112"/>
      <c r="J18" s="112"/>
      <c r="K18" s="112"/>
      <c r="L18" s="113" t="str">
        <f t="shared" si="1"/>
        <v xml:space="preserve"> </v>
      </c>
      <c r="N18" s="116" t="str">
        <f t="shared" si="2"/>
        <v>E</v>
      </c>
      <c r="O18" s="116" t="str">
        <f t="shared" si="3"/>
        <v>E</v>
      </c>
      <c r="P18" s="116" t="str">
        <f t="shared" si="4"/>
        <v>E</v>
      </c>
      <c r="Q18" s="116" t="str">
        <f t="shared" si="5"/>
        <v>E</v>
      </c>
      <c r="R18" s="116" t="str">
        <f t="shared" si="6"/>
        <v>E</v>
      </c>
      <c r="S18" s="116" t="str">
        <f t="shared" si="7"/>
        <v>E</v>
      </c>
      <c r="T18" s="116" t="str">
        <f t="shared" si="8"/>
        <v>E</v>
      </c>
      <c r="U18" s="116" t="str">
        <f t="shared" si="9"/>
        <v>E</v>
      </c>
    </row>
    <row r="19" spans="1:21" x14ac:dyDescent="0.2">
      <c r="A19" s="114">
        <f>Academic!A19</f>
        <v>12</v>
      </c>
      <c r="B19" s="114">
        <f>Academic!B19</f>
        <v>0</v>
      </c>
      <c r="C19" s="115" t="str">
        <f>Academic!C19</f>
        <v>JOVANKA MAUREEN</v>
      </c>
      <c r="D19" s="112"/>
      <c r="E19" s="112"/>
      <c r="F19" s="112"/>
      <c r="G19" s="112"/>
      <c r="H19" s="112"/>
      <c r="I19" s="112"/>
      <c r="J19" s="112"/>
      <c r="K19" s="112"/>
      <c r="L19" s="113" t="str">
        <f t="shared" si="1"/>
        <v xml:space="preserve"> </v>
      </c>
      <c r="N19" s="116" t="str">
        <f t="shared" si="2"/>
        <v>E</v>
      </c>
      <c r="O19" s="116" t="str">
        <f t="shared" si="3"/>
        <v>E</v>
      </c>
      <c r="P19" s="116" t="str">
        <f t="shared" si="4"/>
        <v>E</v>
      </c>
      <c r="Q19" s="116" t="str">
        <f t="shared" si="5"/>
        <v>E</v>
      </c>
      <c r="R19" s="116" t="str">
        <f t="shared" si="6"/>
        <v>E</v>
      </c>
      <c r="S19" s="116" t="str">
        <f t="shared" si="7"/>
        <v>E</v>
      </c>
      <c r="T19" s="116" t="str">
        <f t="shared" si="8"/>
        <v>E</v>
      </c>
      <c r="U19" s="116" t="str">
        <f t="shared" si="9"/>
        <v>E</v>
      </c>
    </row>
    <row r="20" spans="1:21" x14ac:dyDescent="0.2">
      <c r="A20" s="114">
        <f>Academic!A20</f>
        <v>13</v>
      </c>
      <c r="B20" s="114">
        <f>Academic!B20</f>
        <v>0</v>
      </c>
      <c r="C20" s="115" t="str">
        <f>Academic!C20</f>
        <v>JUAN NATANIEL FERDIAN</v>
      </c>
      <c r="D20" s="112"/>
      <c r="E20" s="112"/>
      <c r="F20" s="112"/>
      <c r="G20" s="112"/>
      <c r="H20" s="112"/>
      <c r="I20" s="112"/>
      <c r="J20" s="112"/>
      <c r="K20" s="112"/>
      <c r="L20" s="113" t="str">
        <f t="shared" si="1"/>
        <v xml:space="preserve"> </v>
      </c>
      <c r="N20" s="116" t="str">
        <f t="shared" si="2"/>
        <v>E</v>
      </c>
      <c r="O20" s="116" t="str">
        <f t="shared" si="3"/>
        <v>E</v>
      </c>
      <c r="P20" s="116" t="str">
        <f t="shared" si="4"/>
        <v>E</v>
      </c>
      <c r="Q20" s="116" t="str">
        <f t="shared" si="5"/>
        <v>E</v>
      </c>
      <c r="R20" s="116" t="str">
        <f t="shared" si="6"/>
        <v>E</v>
      </c>
      <c r="S20" s="116" t="str">
        <f t="shared" si="7"/>
        <v>E</v>
      </c>
      <c r="T20" s="116" t="str">
        <f t="shared" si="8"/>
        <v>E</v>
      </c>
      <c r="U20" s="116" t="str">
        <f t="shared" si="9"/>
        <v>E</v>
      </c>
    </row>
    <row r="21" spans="1:21" x14ac:dyDescent="0.2">
      <c r="A21" s="114">
        <f>Academic!A21</f>
        <v>14</v>
      </c>
      <c r="B21" s="114">
        <f>Academic!B21</f>
        <v>0</v>
      </c>
      <c r="C21" s="115" t="str">
        <f>Academic!C21</f>
        <v>LIONY NATALIA</v>
      </c>
      <c r="D21" s="112"/>
      <c r="E21" s="112"/>
      <c r="F21" s="112"/>
      <c r="G21" s="112"/>
      <c r="H21" s="112"/>
      <c r="I21" s="112"/>
      <c r="J21" s="112"/>
      <c r="K21" s="112"/>
      <c r="L21" s="113" t="str">
        <f t="shared" si="1"/>
        <v xml:space="preserve"> </v>
      </c>
      <c r="N21" s="116" t="str">
        <f t="shared" si="2"/>
        <v>E</v>
      </c>
      <c r="O21" s="116" t="str">
        <f t="shared" si="3"/>
        <v>E</v>
      </c>
      <c r="P21" s="116" t="str">
        <f t="shared" si="4"/>
        <v>E</v>
      </c>
      <c r="Q21" s="116" t="str">
        <f t="shared" si="5"/>
        <v>E</v>
      </c>
      <c r="R21" s="116" t="str">
        <f t="shared" si="6"/>
        <v>E</v>
      </c>
      <c r="S21" s="116" t="str">
        <f t="shared" si="7"/>
        <v>E</v>
      </c>
      <c r="T21" s="116" t="str">
        <f t="shared" si="8"/>
        <v>E</v>
      </c>
      <c r="U21" s="116" t="str">
        <f t="shared" si="9"/>
        <v>E</v>
      </c>
    </row>
    <row r="22" spans="1:21" x14ac:dyDescent="0.2">
      <c r="A22" s="114">
        <f>Academic!A22</f>
        <v>15</v>
      </c>
      <c r="B22" s="114">
        <f>Academic!B22</f>
        <v>0</v>
      </c>
      <c r="C22" s="115" t="str">
        <f>Academic!C22</f>
        <v>NICOLE FERNANDA ANTON</v>
      </c>
      <c r="D22" s="112"/>
      <c r="E22" s="112"/>
      <c r="F22" s="112"/>
      <c r="G22" s="112"/>
      <c r="H22" s="112"/>
      <c r="I22" s="112"/>
      <c r="J22" s="112"/>
      <c r="K22" s="112"/>
      <c r="L22" s="113" t="str">
        <f t="shared" si="1"/>
        <v xml:space="preserve"> </v>
      </c>
      <c r="N22" s="116" t="str">
        <f t="shared" si="2"/>
        <v>E</v>
      </c>
      <c r="O22" s="116" t="str">
        <f t="shared" si="3"/>
        <v>E</v>
      </c>
      <c r="P22" s="116" t="str">
        <f t="shared" si="4"/>
        <v>E</v>
      </c>
      <c r="Q22" s="116" t="str">
        <f t="shared" si="5"/>
        <v>E</v>
      </c>
      <c r="R22" s="116" t="str">
        <f t="shared" si="6"/>
        <v>E</v>
      </c>
      <c r="S22" s="116" t="str">
        <f t="shared" si="7"/>
        <v>E</v>
      </c>
      <c r="T22" s="116" t="str">
        <f t="shared" si="8"/>
        <v>E</v>
      </c>
      <c r="U22" s="116" t="str">
        <f t="shared" si="9"/>
        <v>E</v>
      </c>
    </row>
    <row r="23" spans="1:21" x14ac:dyDescent="0.2">
      <c r="A23" s="114">
        <f>Academic!A23</f>
        <v>16</v>
      </c>
      <c r="B23" s="114">
        <f>Academic!B23</f>
        <v>0</v>
      </c>
      <c r="C23" s="115" t="str">
        <f>Academic!C23</f>
        <v>SAMUEL SABAHTANI</v>
      </c>
      <c r="D23" s="112"/>
      <c r="E23" s="112"/>
      <c r="F23" s="112"/>
      <c r="G23" s="112"/>
      <c r="H23" s="112"/>
      <c r="I23" s="112"/>
      <c r="J23" s="112"/>
      <c r="K23" s="112"/>
      <c r="L23" s="113" t="str">
        <f t="shared" si="1"/>
        <v xml:space="preserve"> </v>
      </c>
      <c r="N23" s="116" t="str">
        <f t="shared" si="2"/>
        <v>E</v>
      </c>
      <c r="O23" s="116" t="str">
        <f t="shared" si="3"/>
        <v>E</v>
      </c>
      <c r="P23" s="116" t="str">
        <f t="shared" si="4"/>
        <v>E</v>
      </c>
      <c r="Q23" s="116" t="str">
        <f t="shared" si="5"/>
        <v>E</v>
      </c>
      <c r="R23" s="116" t="str">
        <f t="shared" si="6"/>
        <v>E</v>
      </c>
      <c r="S23" s="116" t="str">
        <f t="shared" si="7"/>
        <v>E</v>
      </c>
      <c r="T23" s="116" t="str">
        <f t="shared" si="8"/>
        <v>E</v>
      </c>
      <c r="U23" s="116" t="str">
        <f t="shared" si="9"/>
        <v>E</v>
      </c>
    </row>
    <row r="24" spans="1:21" x14ac:dyDescent="0.2">
      <c r="A24" s="114">
        <f>Academic!A24</f>
        <v>17</v>
      </c>
      <c r="B24" s="114">
        <f>Academic!B24</f>
        <v>0</v>
      </c>
      <c r="C24" s="115" t="str">
        <f>Academic!C24</f>
        <v>SUBHADRAWAN WILLIAM NATHAN</v>
      </c>
      <c r="D24" s="112"/>
      <c r="E24" s="112"/>
      <c r="F24" s="112"/>
      <c r="G24" s="112"/>
      <c r="H24" s="112"/>
      <c r="I24" s="112"/>
      <c r="J24" s="112"/>
      <c r="K24" s="112"/>
      <c r="L24" s="113" t="str">
        <f t="shared" si="1"/>
        <v xml:space="preserve"> </v>
      </c>
      <c r="N24" s="116" t="str">
        <f t="shared" si="2"/>
        <v>E</v>
      </c>
      <c r="O24" s="116" t="str">
        <f t="shared" si="3"/>
        <v>E</v>
      </c>
      <c r="P24" s="116" t="str">
        <f t="shared" si="4"/>
        <v>E</v>
      </c>
      <c r="Q24" s="116" t="str">
        <f t="shared" si="5"/>
        <v>E</v>
      </c>
      <c r="R24" s="116" t="str">
        <f t="shared" si="6"/>
        <v>E</v>
      </c>
      <c r="S24" s="116" t="str">
        <f t="shared" si="7"/>
        <v>E</v>
      </c>
      <c r="T24" s="116" t="str">
        <f t="shared" si="8"/>
        <v>E</v>
      </c>
      <c r="U24" s="116" t="str">
        <f t="shared" si="9"/>
        <v>E</v>
      </c>
    </row>
    <row r="25" spans="1:21" x14ac:dyDescent="0.2">
      <c r="A25" s="114">
        <f>Academic!A25</f>
        <v>18</v>
      </c>
      <c r="B25" s="114">
        <f>Academic!B25</f>
        <v>0</v>
      </c>
      <c r="C25" s="115" t="str">
        <f>Academic!C25</f>
        <v>VANESSA AURELIA MULJADI</v>
      </c>
      <c r="D25" s="112"/>
      <c r="E25" s="112"/>
      <c r="F25" s="112"/>
      <c r="G25" s="112"/>
      <c r="H25" s="112"/>
      <c r="I25" s="112"/>
      <c r="J25" s="112"/>
      <c r="K25" s="112"/>
      <c r="L25" s="113" t="str">
        <f t="shared" si="1"/>
        <v xml:space="preserve"> </v>
      </c>
      <c r="N25" s="116" t="str">
        <f t="shared" si="2"/>
        <v>E</v>
      </c>
      <c r="O25" s="116" t="str">
        <f t="shared" si="3"/>
        <v>E</v>
      </c>
      <c r="P25" s="116" t="str">
        <f t="shared" si="4"/>
        <v>E</v>
      </c>
      <c r="Q25" s="116" t="str">
        <f t="shared" si="5"/>
        <v>E</v>
      </c>
      <c r="R25" s="116" t="str">
        <f t="shared" si="6"/>
        <v>E</v>
      </c>
      <c r="S25" s="116" t="str">
        <f t="shared" si="7"/>
        <v>E</v>
      </c>
      <c r="T25" s="116" t="str">
        <f t="shared" si="8"/>
        <v>E</v>
      </c>
      <c r="U25" s="116" t="str">
        <f t="shared" si="9"/>
        <v>E</v>
      </c>
    </row>
    <row r="26" spans="1:21" x14ac:dyDescent="0.2">
      <c r="A26" s="114">
        <f>Academic!A26</f>
        <v>19</v>
      </c>
      <c r="B26" s="114">
        <f>Academic!B26</f>
        <v>0</v>
      </c>
      <c r="C26" s="115" t="str">
        <f>Academic!C26</f>
        <v>WISNU DWI PRASETYA</v>
      </c>
      <c r="D26" s="112"/>
      <c r="E26" s="112"/>
      <c r="F26" s="112"/>
      <c r="G26" s="112"/>
      <c r="H26" s="112"/>
      <c r="I26" s="112"/>
      <c r="J26" s="112"/>
      <c r="K26" s="112"/>
      <c r="L26" s="113" t="str">
        <f t="shared" si="1"/>
        <v xml:space="preserve"> </v>
      </c>
      <c r="N26" s="116" t="str">
        <f t="shared" si="2"/>
        <v>E</v>
      </c>
      <c r="O26" s="116" t="str">
        <f t="shared" si="3"/>
        <v>E</v>
      </c>
      <c r="P26" s="116" t="str">
        <f t="shared" si="4"/>
        <v>E</v>
      </c>
      <c r="Q26" s="116" t="str">
        <f t="shared" si="5"/>
        <v>E</v>
      </c>
      <c r="R26" s="116" t="str">
        <f t="shared" si="6"/>
        <v>E</v>
      </c>
      <c r="S26" s="116" t="str">
        <f t="shared" si="7"/>
        <v>E</v>
      </c>
      <c r="T26" s="116" t="str">
        <f t="shared" si="8"/>
        <v>E</v>
      </c>
      <c r="U26" s="116" t="str">
        <f t="shared" si="9"/>
        <v>E</v>
      </c>
    </row>
    <row r="27" spans="1:21" x14ac:dyDescent="0.2">
      <c r="A27" s="114" t="str">
        <f>Academic!A27</f>
        <v xml:space="preserve"> </v>
      </c>
      <c r="B27" s="114" t="str">
        <f>Academic!B27</f>
        <v xml:space="preserve"> </v>
      </c>
      <c r="C27" s="115" t="str">
        <f>Academic!C27</f>
        <v xml:space="preserve"> </v>
      </c>
      <c r="D27" s="112"/>
      <c r="E27" s="112"/>
      <c r="F27" s="112"/>
      <c r="G27" s="112"/>
      <c r="H27" s="112"/>
      <c r="I27" s="112"/>
      <c r="J27" s="112"/>
      <c r="K27" s="112"/>
      <c r="L27" s="113" t="str">
        <f t="shared" si="1"/>
        <v xml:space="preserve"> </v>
      </c>
      <c r="N27" s="116" t="str">
        <f t="shared" si="2"/>
        <v>E</v>
      </c>
      <c r="O27" s="116" t="str">
        <f t="shared" si="3"/>
        <v>E</v>
      </c>
      <c r="P27" s="116" t="str">
        <f t="shared" si="4"/>
        <v>E</v>
      </c>
      <c r="Q27" s="116" t="str">
        <f t="shared" si="5"/>
        <v>E</v>
      </c>
      <c r="R27" s="116" t="str">
        <f t="shared" si="6"/>
        <v>E</v>
      </c>
      <c r="S27" s="116" t="str">
        <f t="shared" si="7"/>
        <v>E</v>
      </c>
      <c r="T27" s="116" t="str">
        <f t="shared" si="8"/>
        <v>E</v>
      </c>
      <c r="U27" s="116" t="str">
        <f t="shared" si="9"/>
        <v>E</v>
      </c>
    </row>
    <row r="28" spans="1:21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3" t="str">
        <f t="shared" si="1"/>
        <v xml:space="preserve"> </v>
      </c>
      <c r="N28" s="116" t="str">
        <f t="shared" si="2"/>
        <v>E</v>
      </c>
      <c r="O28" s="116" t="str">
        <f t="shared" si="3"/>
        <v>E</v>
      </c>
      <c r="P28" s="116" t="str">
        <f t="shared" si="4"/>
        <v>E</v>
      </c>
      <c r="Q28" s="116" t="str">
        <f t="shared" si="5"/>
        <v>E</v>
      </c>
      <c r="R28" s="116" t="str">
        <f t="shared" si="6"/>
        <v>E</v>
      </c>
      <c r="S28" s="116" t="str">
        <f t="shared" si="7"/>
        <v>E</v>
      </c>
      <c r="T28" s="116" t="str">
        <f t="shared" si="8"/>
        <v>E</v>
      </c>
      <c r="U28" s="116" t="str">
        <f t="shared" si="9"/>
        <v>E</v>
      </c>
    </row>
    <row r="29" spans="1:21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3" t="str">
        <f t="shared" si="1"/>
        <v xml:space="preserve"> </v>
      </c>
      <c r="N29" s="116" t="str">
        <f t="shared" si="2"/>
        <v>E</v>
      </c>
      <c r="O29" s="116" t="str">
        <f t="shared" si="3"/>
        <v>E</v>
      </c>
      <c r="P29" s="116" t="str">
        <f t="shared" si="4"/>
        <v>E</v>
      </c>
      <c r="Q29" s="116" t="str">
        <f t="shared" si="5"/>
        <v>E</v>
      </c>
      <c r="R29" s="116" t="str">
        <f t="shared" si="6"/>
        <v>E</v>
      </c>
      <c r="S29" s="116" t="str">
        <f t="shared" si="7"/>
        <v>E</v>
      </c>
      <c r="T29" s="116" t="str">
        <f t="shared" si="8"/>
        <v>E</v>
      </c>
      <c r="U29" s="116" t="str">
        <f t="shared" si="9"/>
        <v>E</v>
      </c>
    </row>
    <row r="30" spans="1:21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3" t="str">
        <f t="shared" si="1"/>
        <v xml:space="preserve"> </v>
      </c>
      <c r="N30" s="116" t="str">
        <f t="shared" si="2"/>
        <v>E</v>
      </c>
      <c r="O30" s="116" t="str">
        <f t="shared" si="3"/>
        <v>E</v>
      </c>
      <c r="P30" s="116" t="str">
        <f t="shared" si="4"/>
        <v>E</v>
      </c>
      <c r="Q30" s="116" t="str">
        <f t="shared" si="5"/>
        <v>E</v>
      </c>
      <c r="R30" s="116" t="str">
        <f t="shared" si="6"/>
        <v>E</v>
      </c>
      <c r="S30" s="116" t="str">
        <f t="shared" si="7"/>
        <v>E</v>
      </c>
      <c r="T30" s="116" t="str">
        <f t="shared" si="8"/>
        <v>E</v>
      </c>
      <c r="U30" s="116" t="str">
        <f t="shared" si="9"/>
        <v>E</v>
      </c>
    </row>
    <row r="31" spans="1:21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3" t="str">
        <f t="shared" si="1"/>
        <v xml:space="preserve"> </v>
      </c>
      <c r="N31" s="116" t="str">
        <f t="shared" ref="N31" si="10">IF(D31&gt;=4,"A",IF(D31&gt;=3,"B",IF(D31&gt;=2,"C",IF(D31&gt;=1,"D","E"))))</f>
        <v>E</v>
      </c>
      <c r="O31" s="116" t="str">
        <f t="shared" ref="O31" si="11">IF(E31&gt;=4,"A",IF(E31&gt;=3,"B",IF(E31&gt;=2,"C",IF(E31&gt;=1,"D","E"))))</f>
        <v>E</v>
      </c>
      <c r="P31" s="116" t="str">
        <f t="shared" ref="P31" si="12">IF(F31&gt;=4,"A",IF(F31&gt;=3,"B",IF(F31&gt;=2,"C",IF(F31&gt;=1,"D","E"))))</f>
        <v>E</v>
      </c>
      <c r="Q31" s="116" t="str">
        <f t="shared" ref="Q31" si="13">IF(G31&gt;=4,"A",IF(G31&gt;=3,"B",IF(G31&gt;=2,"C",IF(G31&gt;=1,"D","E"))))</f>
        <v>E</v>
      </c>
      <c r="R31" s="116" t="str">
        <f t="shared" ref="R31" si="14">IF(H31&gt;=4,"A",IF(H31&gt;=3,"B",IF(H31&gt;=2,"C",IF(H31&gt;=1,"D","E"))))</f>
        <v>E</v>
      </c>
      <c r="S31" s="116" t="str">
        <f t="shared" ref="S31" si="15">IF(I31&gt;=4,"A",IF(I31&gt;=3,"B",IF(I31&gt;=2,"C",IF(I31&gt;=1,"D","E"))))</f>
        <v>E</v>
      </c>
      <c r="T31" s="116" t="str">
        <f t="shared" ref="T31" si="16">IF(J31&gt;=4,"A",IF(J31&gt;=3,"B",IF(J31&gt;=2,"C",IF(J31&gt;=1,"D","E"))))</f>
        <v>E</v>
      </c>
      <c r="U31" s="116" t="str">
        <f t="shared" ref="U31" si="17">IF(K31&gt;=4,"A",IF(K31&gt;=3,"B",IF(K31&gt;=2,"C",IF(K31&gt;=1,"D","E"))))</f>
        <v>E</v>
      </c>
    </row>
    <row r="32" spans="1:21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3" t="str">
        <f t="shared" si="1"/>
        <v xml:space="preserve"> </v>
      </c>
      <c r="N32" s="116" t="str">
        <f t="shared" si="2"/>
        <v>E</v>
      </c>
      <c r="O32" s="116" t="str">
        <f t="shared" si="3"/>
        <v>E</v>
      </c>
      <c r="P32" s="116" t="str">
        <f t="shared" si="4"/>
        <v>E</v>
      </c>
      <c r="Q32" s="116" t="str">
        <f t="shared" si="5"/>
        <v>E</v>
      </c>
      <c r="R32" s="116" t="str">
        <f t="shared" si="6"/>
        <v>E</v>
      </c>
      <c r="S32" s="116" t="str">
        <f t="shared" si="7"/>
        <v>E</v>
      </c>
      <c r="T32" s="116" t="str">
        <f t="shared" si="8"/>
        <v>E</v>
      </c>
      <c r="U32" s="116" t="str">
        <f t="shared" si="9"/>
        <v>E</v>
      </c>
    </row>
    <row r="38" spans="4:8" x14ac:dyDescent="0.2">
      <c r="D38" s="212"/>
      <c r="E38" s="212"/>
      <c r="F38" s="212"/>
      <c r="G38" s="212"/>
      <c r="H38" s="5"/>
    </row>
    <row r="39" spans="4:8" x14ac:dyDescent="0.2">
      <c r="D39" s="212"/>
      <c r="E39" s="212"/>
      <c r="F39" s="212"/>
      <c r="G39" s="212"/>
      <c r="H39" s="5"/>
    </row>
    <row r="40" spans="4:8" x14ac:dyDescent="0.2">
      <c r="D40" s="212"/>
      <c r="E40" s="212"/>
      <c r="F40" s="212"/>
      <c r="G40" s="212"/>
      <c r="H40" s="5"/>
    </row>
    <row r="41" spans="4:8" x14ac:dyDescent="0.2">
      <c r="D41" s="212"/>
      <c r="E41" s="212"/>
      <c r="F41" s="212"/>
      <c r="G41" s="212"/>
      <c r="H41" s="5"/>
    </row>
    <row r="42" spans="4:8" x14ac:dyDescent="0.2">
      <c r="D42" s="212"/>
      <c r="E42" s="212"/>
      <c r="F42" s="212"/>
      <c r="G42" s="212"/>
      <c r="H42" s="5"/>
    </row>
    <row r="43" spans="4:8" x14ac:dyDescent="0.2">
      <c r="D43" s="212"/>
      <c r="E43" s="212"/>
      <c r="F43" s="212"/>
      <c r="G43" s="212"/>
      <c r="H43" s="5"/>
    </row>
    <row r="44" spans="4:8" x14ac:dyDescent="0.2">
      <c r="D44" s="212"/>
      <c r="E44" s="212"/>
      <c r="F44" s="212"/>
      <c r="G44" s="212"/>
      <c r="H44" s="5"/>
    </row>
    <row r="45" spans="4:8" x14ac:dyDescent="0.2">
      <c r="D45" s="212"/>
      <c r="E45" s="212"/>
      <c r="F45" s="212"/>
      <c r="G45" s="212"/>
      <c r="H45" s="5"/>
    </row>
    <row r="46" spans="4:8" x14ac:dyDescent="0.2">
      <c r="D46" s="212"/>
      <c r="E46" s="212"/>
      <c r="F46" s="212"/>
      <c r="G46" s="212"/>
      <c r="H46" s="5"/>
    </row>
    <row r="47" spans="4:8" x14ac:dyDescent="0.2">
      <c r="D47" s="212"/>
      <c r="E47" s="212"/>
      <c r="F47" s="212"/>
      <c r="G47" s="212"/>
      <c r="H47" s="5"/>
    </row>
    <row r="48" spans="4:8" x14ac:dyDescent="0.2">
      <c r="D48" s="212"/>
      <c r="E48" s="212"/>
      <c r="F48" s="212"/>
      <c r="G48" s="212"/>
      <c r="H48" s="5"/>
    </row>
    <row r="49" spans="4:8" x14ac:dyDescent="0.2">
      <c r="D49" s="212"/>
      <c r="E49" s="212"/>
      <c r="F49" s="212"/>
      <c r="G49" s="212"/>
      <c r="H49" s="5"/>
    </row>
    <row r="50" spans="4:8" x14ac:dyDescent="0.2">
      <c r="D50" s="212"/>
      <c r="E50" s="212"/>
      <c r="F50" s="212"/>
      <c r="G50" s="212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password="C71F" sheet="1" objects="1" scenarios="1"/>
  <mergeCells count="19"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B2:L2"/>
    <mergeCell ref="B6:B7"/>
    <mergeCell ref="C6:C7"/>
    <mergeCell ref="D6:K6"/>
    <mergeCell ref="L6:L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J55"/>
  <sheetViews>
    <sheetView showGridLines="0" topLeftCell="C2" workbookViewId="0">
      <selection activeCell="K3" sqref="K3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6384" width="9.140625" style="1"/>
  </cols>
  <sheetData>
    <row r="2" spans="1:10" ht="45" x14ac:dyDescent="0.6">
      <c r="A2" s="217" t="s">
        <v>247</v>
      </c>
      <c r="B2" s="217"/>
      <c r="C2" s="217"/>
      <c r="D2" s="217"/>
      <c r="E2" s="217"/>
      <c r="F2" s="217"/>
      <c r="G2" s="217"/>
      <c r="H2" s="217"/>
      <c r="I2" s="217"/>
      <c r="J2" s="217"/>
    </row>
    <row r="4" spans="1:10" ht="18.75" x14ac:dyDescent="0.3">
      <c r="B4" s="154" t="s">
        <v>146</v>
      </c>
      <c r="C4" s="155" t="str">
        <f>Cover!K18</f>
        <v>12 Science 2</v>
      </c>
    </row>
    <row r="6" spans="1:10" ht="26.25" x14ac:dyDescent="0.4">
      <c r="A6" s="216" t="s">
        <v>225</v>
      </c>
      <c r="B6" s="218" t="s">
        <v>130</v>
      </c>
      <c r="C6" s="218" t="s">
        <v>0</v>
      </c>
      <c r="D6" s="213" t="s">
        <v>149</v>
      </c>
      <c r="E6" s="213"/>
      <c r="F6" s="213"/>
      <c r="G6" s="213"/>
      <c r="H6" s="214" t="s">
        <v>156</v>
      </c>
      <c r="I6" s="215"/>
      <c r="J6" s="215"/>
    </row>
    <row r="7" spans="1:10" ht="15.75" x14ac:dyDescent="0.25">
      <c r="A7" s="216"/>
      <c r="B7" s="218"/>
      <c r="C7" s="218"/>
      <c r="D7" s="131" t="s">
        <v>150</v>
      </c>
      <c r="E7" s="131" t="s">
        <v>153</v>
      </c>
      <c r="F7" s="131" t="s">
        <v>151</v>
      </c>
      <c r="G7" s="131" t="s">
        <v>152</v>
      </c>
      <c r="H7" s="131" t="s">
        <v>154</v>
      </c>
      <c r="I7" s="131" t="s">
        <v>155</v>
      </c>
      <c r="J7" s="131" t="s">
        <v>167</v>
      </c>
    </row>
    <row r="8" spans="1:10" x14ac:dyDescent="0.2">
      <c r="A8" s="114">
        <f>Academic!A8</f>
        <v>1</v>
      </c>
      <c r="B8" s="114">
        <f>Academic!B8</f>
        <v>0</v>
      </c>
      <c r="C8" s="115" t="str">
        <f>Academic!C8</f>
        <v>ADRIAN REYNARD SUTANTO</v>
      </c>
      <c r="D8" s="112"/>
      <c r="E8" s="112"/>
      <c r="F8" s="112"/>
      <c r="G8" s="112"/>
      <c r="H8" s="112"/>
      <c r="I8" s="112"/>
      <c r="J8" s="112"/>
    </row>
    <row r="9" spans="1:10" x14ac:dyDescent="0.2">
      <c r="A9" s="114">
        <f>Academic!A9</f>
        <v>2</v>
      </c>
      <c r="B9" s="114">
        <f>Academic!B9</f>
        <v>0</v>
      </c>
      <c r="C9" s="115" t="str">
        <f>Academic!C9</f>
        <v>ALVYN</v>
      </c>
      <c r="D9" s="112"/>
      <c r="E9" s="112"/>
      <c r="F9" s="112"/>
      <c r="G9" s="112"/>
      <c r="H9" s="112"/>
      <c r="I9" s="112"/>
      <c r="J9" s="112"/>
    </row>
    <row r="10" spans="1:10" x14ac:dyDescent="0.2">
      <c r="A10" s="114">
        <f>Academic!A10</f>
        <v>3</v>
      </c>
      <c r="B10" s="114">
        <f>Academic!B10</f>
        <v>0</v>
      </c>
      <c r="C10" s="115" t="str">
        <f>Academic!C10</f>
        <v>ANDREW IVAN SOEGENG</v>
      </c>
      <c r="D10" s="112"/>
      <c r="E10" s="112"/>
      <c r="F10" s="112"/>
      <c r="G10" s="112"/>
      <c r="H10" s="112"/>
      <c r="I10" s="112"/>
      <c r="J10" s="112"/>
    </row>
    <row r="11" spans="1:10" x14ac:dyDescent="0.2">
      <c r="A11" s="114">
        <f>Academic!A11</f>
        <v>4</v>
      </c>
      <c r="B11" s="114">
        <f>Academic!B11</f>
        <v>0</v>
      </c>
      <c r="C11" s="115" t="str">
        <f>Academic!C11</f>
        <v>ARSENIUS DAVIN</v>
      </c>
      <c r="D11" s="112"/>
      <c r="E11" s="112"/>
      <c r="F11" s="112"/>
      <c r="G11" s="112"/>
      <c r="H11" s="112"/>
      <c r="I11" s="112"/>
      <c r="J11" s="112"/>
    </row>
    <row r="12" spans="1:10" x14ac:dyDescent="0.2">
      <c r="A12" s="114">
        <f>Academic!A12</f>
        <v>5</v>
      </c>
      <c r="B12" s="114">
        <f>Academic!B12</f>
        <v>0</v>
      </c>
      <c r="C12" s="115" t="str">
        <f>Academic!C12</f>
        <v>BENEDICTUS LEONARDUS TAMIN</v>
      </c>
      <c r="D12" s="112"/>
      <c r="E12" s="112"/>
      <c r="F12" s="112"/>
      <c r="G12" s="112"/>
      <c r="H12" s="112"/>
      <c r="I12" s="112"/>
      <c r="J12" s="112"/>
    </row>
    <row r="13" spans="1:10" x14ac:dyDescent="0.2">
      <c r="A13" s="114">
        <f>Academic!A13</f>
        <v>6</v>
      </c>
      <c r="B13" s="114">
        <f>Academic!B13</f>
        <v>0</v>
      </c>
      <c r="C13" s="115" t="str">
        <f>Academic!C13</f>
        <v>BRAZALI WIRANATA</v>
      </c>
      <c r="D13" s="112"/>
      <c r="E13" s="112"/>
      <c r="F13" s="112"/>
      <c r="G13" s="112"/>
      <c r="H13" s="112"/>
      <c r="I13" s="112"/>
      <c r="J13" s="112"/>
    </row>
    <row r="14" spans="1:10" x14ac:dyDescent="0.2">
      <c r="A14" s="114">
        <f>Academic!A14</f>
        <v>7</v>
      </c>
      <c r="B14" s="114">
        <f>Academic!B14</f>
        <v>0</v>
      </c>
      <c r="C14" s="115" t="str">
        <f>Academic!C14</f>
        <v>CHRISTOPHER</v>
      </c>
      <c r="D14" s="112"/>
      <c r="E14" s="112"/>
      <c r="F14" s="112"/>
      <c r="G14" s="112"/>
      <c r="H14" s="112"/>
      <c r="I14" s="112"/>
      <c r="J14" s="112"/>
    </row>
    <row r="15" spans="1:10" x14ac:dyDescent="0.2">
      <c r="A15" s="114">
        <f>Academic!A15</f>
        <v>8</v>
      </c>
      <c r="B15" s="114">
        <f>Academic!B15</f>
        <v>0</v>
      </c>
      <c r="C15" s="115" t="str">
        <f>Academic!C15</f>
        <v>GABRIELA ANSEL TJIPUTRA</v>
      </c>
      <c r="D15" s="112"/>
      <c r="E15" s="112"/>
      <c r="F15" s="112"/>
      <c r="G15" s="112"/>
      <c r="H15" s="112"/>
      <c r="I15" s="112"/>
      <c r="J15" s="112"/>
    </row>
    <row r="16" spans="1:10" x14ac:dyDescent="0.2">
      <c r="A16" s="114">
        <f>Academic!A16</f>
        <v>9</v>
      </c>
      <c r="B16" s="114">
        <f>Academic!B16</f>
        <v>0</v>
      </c>
      <c r="C16" s="115" t="str">
        <f>Academic!C16</f>
        <v>GERHARD LUKITA</v>
      </c>
      <c r="D16" s="112"/>
      <c r="E16" s="112"/>
      <c r="F16" s="112"/>
      <c r="G16" s="112"/>
      <c r="H16" s="112"/>
      <c r="I16" s="112"/>
      <c r="J16" s="112"/>
    </row>
    <row r="17" spans="1:10" x14ac:dyDescent="0.2">
      <c r="A17" s="114">
        <f>Academic!A17</f>
        <v>10</v>
      </c>
      <c r="B17" s="114">
        <f>Academic!B17</f>
        <v>0</v>
      </c>
      <c r="C17" s="115" t="str">
        <f>Academic!C17</f>
        <v>JESSICA CLARABELLA CHRISTIANNA</v>
      </c>
      <c r="D17" s="112"/>
      <c r="E17" s="112"/>
      <c r="F17" s="112"/>
      <c r="G17" s="112"/>
      <c r="H17" s="112"/>
      <c r="I17" s="112"/>
      <c r="J17" s="112"/>
    </row>
    <row r="18" spans="1:10" x14ac:dyDescent="0.2">
      <c r="A18" s="114">
        <f>Academic!A18</f>
        <v>11</v>
      </c>
      <c r="B18" s="114">
        <f>Academic!B18</f>
        <v>0</v>
      </c>
      <c r="C18" s="115" t="str">
        <f>Academic!C18</f>
        <v>JEREMY HARIMAUWAN</v>
      </c>
      <c r="D18" s="112"/>
      <c r="E18" s="112"/>
      <c r="F18" s="112"/>
      <c r="G18" s="112"/>
      <c r="H18" s="112"/>
      <c r="I18" s="112"/>
      <c r="J18" s="112"/>
    </row>
    <row r="19" spans="1:10" x14ac:dyDescent="0.2">
      <c r="A19" s="114">
        <f>Academic!A19</f>
        <v>12</v>
      </c>
      <c r="B19" s="114">
        <f>Academic!B19</f>
        <v>0</v>
      </c>
      <c r="C19" s="115" t="str">
        <f>Academic!C19</f>
        <v>JOVANKA MAUREEN</v>
      </c>
      <c r="D19" s="112"/>
      <c r="E19" s="112"/>
      <c r="F19" s="112"/>
      <c r="G19" s="112"/>
      <c r="H19" s="112"/>
      <c r="I19" s="112"/>
      <c r="J19" s="112"/>
    </row>
    <row r="20" spans="1:10" x14ac:dyDescent="0.2">
      <c r="A20" s="114">
        <f>Academic!A20</f>
        <v>13</v>
      </c>
      <c r="B20" s="114">
        <f>Academic!B20</f>
        <v>0</v>
      </c>
      <c r="C20" s="115" t="str">
        <f>Academic!C20</f>
        <v>JUAN NATANIEL FERDIAN</v>
      </c>
      <c r="D20" s="112"/>
      <c r="E20" s="112"/>
      <c r="F20" s="112"/>
      <c r="G20" s="112"/>
      <c r="H20" s="112"/>
      <c r="I20" s="112"/>
      <c r="J20" s="112"/>
    </row>
    <row r="21" spans="1:10" x14ac:dyDescent="0.2">
      <c r="A21" s="114">
        <f>Academic!A21</f>
        <v>14</v>
      </c>
      <c r="B21" s="114">
        <f>Academic!B21</f>
        <v>0</v>
      </c>
      <c r="C21" s="115" t="str">
        <f>Academic!C21</f>
        <v>LIONY NATALIA</v>
      </c>
      <c r="D21" s="112"/>
      <c r="E21" s="112"/>
      <c r="F21" s="112"/>
      <c r="G21" s="112"/>
      <c r="H21" s="112"/>
      <c r="I21" s="112"/>
      <c r="J21" s="112"/>
    </row>
    <row r="22" spans="1:10" x14ac:dyDescent="0.2">
      <c r="A22" s="114">
        <f>Academic!A22</f>
        <v>15</v>
      </c>
      <c r="B22" s="114">
        <f>Academic!B22</f>
        <v>0</v>
      </c>
      <c r="C22" s="115" t="str">
        <f>Academic!C22</f>
        <v>NICOLE FERNANDA ANTON</v>
      </c>
      <c r="D22" s="112"/>
      <c r="E22" s="112"/>
      <c r="F22" s="112"/>
      <c r="G22" s="112"/>
      <c r="H22" s="112"/>
      <c r="I22" s="112"/>
      <c r="J22" s="112"/>
    </row>
    <row r="23" spans="1:10" x14ac:dyDescent="0.2">
      <c r="A23" s="114">
        <f>Academic!A23</f>
        <v>16</v>
      </c>
      <c r="B23" s="114">
        <f>Academic!B23</f>
        <v>0</v>
      </c>
      <c r="C23" s="115" t="str">
        <f>Academic!C23</f>
        <v>SAMUEL SABAHTANI</v>
      </c>
      <c r="D23" s="112"/>
      <c r="E23" s="112"/>
      <c r="F23" s="112"/>
      <c r="G23" s="112"/>
      <c r="H23" s="112"/>
      <c r="I23" s="112"/>
      <c r="J23" s="112"/>
    </row>
    <row r="24" spans="1:10" x14ac:dyDescent="0.2">
      <c r="A24" s="114">
        <f>Academic!A24</f>
        <v>17</v>
      </c>
      <c r="B24" s="114">
        <f>Academic!B24</f>
        <v>0</v>
      </c>
      <c r="C24" s="115" t="str">
        <f>Academic!C24</f>
        <v>SUBHADRAWAN WILLIAM NATHAN</v>
      </c>
      <c r="D24" s="112"/>
      <c r="E24" s="112"/>
      <c r="F24" s="112"/>
      <c r="G24" s="112"/>
      <c r="H24" s="112"/>
      <c r="I24" s="112"/>
      <c r="J24" s="112"/>
    </row>
    <row r="25" spans="1:10" x14ac:dyDescent="0.2">
      <c r="A25" s="114">
        <f>Academic!A25</f>
        <v>18</v>
      </c>
      <c r="B25" s="114">
        <f>Academic!B25</f>
        <v>0</v>
      </c>
      <c r="C25" s="115" t="str">
        <f>Academic!C25</f>
        <v>VANESSA AURELIA MULJADI</v>
      </c>
      <c r="D25" s="112"/>
      <c r="E25" s="112"/>
      <c r="F25" s="112"/>
      <c r="G25" s="112"/>
      <c r="H25" s="112"/>
      <c r="I25" s="112"/>
      <c r="J25" s="112"/>
    </row>
    <row r="26" spans="1:10" x14ac:dyDescent="0.2">
      <c r="A26" s="114">
        <f>Academic!A26</f>
        <v>19</v>
      </c>
      <c r="B26" s="114">
        <f>Academic!B26</f>
        <v>0</v>
      </c>
      <c r="C26" s="115" t="str">
        <f>Academic!C26</f>
        <v>WISNU DWI PRASETYA</v>
      </c>
      <c r="D26" s="112"/>
      <c r="E26" s="112"/>
      <c r="F26" s="112"/>
      <c r="G26" s="112"/>
      <c r="H26" s="112"/>
      <c r="I26" s="112"/>
      <c r="J26" s="112"/>
    </row>
    <row r="27" spans="1:10" x14ac:dyDescent="0.2">
      <c r="A27" s="114" t="str">
        <f>Academic!A27</f>
        <v xml:space="preserve"> </v>
      </c>
      <c r="B27" s="114" t="str">
        <f>Academic!B27</f>
        <v xml:space="preserve"> </v>
      </c>
      <c r="C27" s="115" t="str">
        <f>Academic!C27</f>
        <v xml:space="preserve"> </v>
      </c>
      <c r="D27" s="112"/>
      <c r="E27" s="112"/>
      <c r="F27" s="112"/>
      <c r="G27" s="112"/>
      <c r="H27" s="112"/>
      <c r="I27" s="112"/>
      <c r="J27" s="112"/>
    </row>
    <row r="28" spans="1:10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</row>
    <row r="29" spans="1:10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</row>
    <row r="30" spans="1:10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</row>
    <row r="31" spans="1:10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</row>
    <row r="32" spans="1:10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</row>
    <row r="38" spans="4:8" x14ac:dyDescent="0.2">
      <c r="D38" s="212"/>
      <c r="E38" s="212"/>
      <c r="F38" s="212"/>
      <c r="G38" s="212"/>
      <c r="H38" s="5"/>
    </row>
    <row r="39" spans="4:8" x14ac:dyDescent="0.2">
      <c r="D39" s="212"/>
      <c r="E39" s="212"/>
      <c r="F39" s="212"/>
      <c r="G39" s="212"/>
      <c r="H39" s="5"/>
    </row>
    <row r="40" spans="4:8" x14ac:dyDescent="0.2">
      <c r="D40" s="212"/>
      <c r="E40" s="212"/>
      <c r="F40" s="212"/>
      <c r="G40" s="212"/>
      <c r="H40" s="5"/>
    </row>
    <row r="41" spans="4:8" x14ac:dyDescent="0.2">
      <c r="D41" s="212"/>
      <c r="E41" s="212"/>
      <c r="F41" s="212"/>
      <c r="G41" s="212"/>
      <c r="H41" s="5"/>
    </row>
    <row r="42" spans="4:8" x14ac:dyDescent="0.2">
      <c r="D42" s="212"/>
      <c r="E42" s="212"/>
      <c r="F42" s="212"/>
      <c r="G42" s="212"/>
      <c r="H42" s="5"/>
    </row>
    <row r="43" spans="4:8" x14ac:dyDescent="0.2">
      <c r="D43" s="212"/>
      <c r="E43" s="212"/>
      <c r="F43" s="212"/>
      <c r="G43" s="212"/>
      <c r="H43" s="5"/>
    </row>
    <row r="44" spans="4:8" x14ac:dyDescent="0.2">
      <c r="D44" s="212"/>
      <c r="E44" s="212"/>
      <c r="F44" s="212"/>
      <c r="G44" s="212"/>
      <c r="H44" s="5"/>
    </row>
    <row r="45" spans="4:8" x14ac:dyDescent="0.2">
      <c r="D45" s="212"/>
      <c r="E45" s="212"/>
      <c r="F45" s="212"/>
      <c r="G45" s="212"/>
      <c r="H45" s="5"/>
    </row>
    <row r="46" spans="4:8" x14ac:dyDescent="0.2">
      <c r="D46" s="212"/>
      <c r="E46" s="212"/>
      <c r="F46" s="212"/>
      <c r="G46" s="212"/>
      <c r="H46" s="5"/>
    </row>
    <row r="47" spans="4:8" x14ac:dyDescent="0.2">
      <c r="D47" s="212"/>
      <c r="E47" s="212"/>
      <c r="F47" s="212"/>
      <c r="G47" s="212"/>
      <c r="H47" s="5"/>
    </row>
    <row r="48" spans="4:8" x14ac:dyDescent="0.2">
      <c r="D48" s="212"/>
      <c r="E48" s="212"/>
      <c r="F48" s="212"/>
      <c r="G48" s="212"/>
      <c r="H48" s="5"/>
    </row>
    <row r="49" spans="4:8" x14ac:dyDescent="0.2">
      <c r="D49" s="212"/>
      <c r="E49" s="212"/>
      <c r="F49" s="212"/>
      <c r="G49" s="212"/>
      <c r="H49" s="5"/>
    </row>
    <row r="50" spans="4:8" x14ac:dyDescent="0.2">
      <c r="D50" s="212"/>
      <c r="E50" s="212"/>
      <c r="F50" s="212"/>
      <c r="G50" s="212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password="C71F" sheet="1" objects="1" scenarios="1"/>
  <mergeCells count="19"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D38:G38"/>
    <mergeCell ref="D6:G6"/>
    <mergeCell ref="H6:J6"/>
    <mergeCell ref="A6:A7"/>
    <mergeCell ref="A2:J2"/>
    <mergeCell ref="B6:B7"/>
    <mergeCell ref="C6:C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F225"/>
  <sheetViews>
    <sheetView topLeftCell="A8" zoomScaleNormal="100" zoomScaleSheetLayoutView="100" workbookViewId="0">
      <selection activeCell="E5" sqref="E5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1" width="4.140625" style="1" customWidth="1"/>
    <col min="32" max="32" width="8" style="1" customWidth="1"/>
    <col min="33" max="16384" width="9.140625" style="1"/>
  </cols>
  <sheetData>
    <row r="1" spans="1:21" ht="62.25" customHeight="1" x14ac:dyDescent="0.2">
      <c r="A1" s="118"/>
      <c r="B1" s="219" t="s">
        <v>249</v>
      </c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T1" s="9" t="s">
        <v>134</v>
      </c>
      <c r="U1" s="97">
        <v>18</v>
      </c>
    </row>
    <row r="2" spans="1:21" ht="15" customHeight="1" x14ac:dyDescent="0.2">
      <c r="A2" s="315"/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T2" s="9"/>
      <c r="U2" s="94"/>
    </row>
    <row r="3" spans="1:21" x14ac:dyDescent="0.2">
      <c r="A3" s="10"/>
      <c r="B3" s="150" t="s">
        <v>169</v>
      </c>
      <c r="C3" s="151" t="s">
        <v>1</v>
      </c>
      <c r="D3" s="11" t="s">
        <v>258</v>
      </c>
      <c r="E3" s="11"/>
      <c r="F3" s="11"/>
      <c r="G3" s="11"/>
      <c r="H3" s="11"/>
      <c r="I3" s="11"/>
      <c r="J3" s="11"/>
      <c r="L3" s="150" t="s">
        <v>129</v>
      </c>
      <c r="M3" s="2"/>
      <c r="N3" s="150"/>
      <c r="O3" s="151" t="s">
        <v>1</v>
      </c>
      <c r="P3" s="298" t="str">
        <f>Cover!K18</f>
        <v>12 Science 2</v>
      </c>
      <c r="Q3" s="297"/>
      <c r="R3" s="297"/>
    </row>
    <row r="4" spans="1:21" x14ac:dyDescent="0.2">
      <c r="A4" s="10"/>
      <c r="B4" s="150" t="s">
        <v>170</v>
      </c>
      <c r="C4" s="151" t="s">
        <v>1</v>
      </c>
      <c r="D4" s="11" t="s">
        <v>171</v>
      </c>
      <c r="E4" s="11"/>
      <c r="F4" s="11"/>
      <c r="G4" s="11"/>
      <c r="H4" s="11"/>
      <c r="I4" s="11"/>
      <c r="J4" s="11"/>
      <c r="L4" s="150" t="s">
        <v>2</v>
      </c>
      <c r="M4" s="2"/>
      <c r="N4" s="2"/>
      <c r="O4" s="151" t="s">
        <v>1</v>
      </c>
      <c r="P4" s="297" t="str">
        <f>Cover!D19</f>
        <v>1 (one)</v>
      </c>
      <c r="Q4" s="297"/>
      <c r="R4" s="297"/>
    </row>
    <row r="5" spans="1:21" x14ac:dyDescent="0.2">
      <c r="B5" s="150" t="s">
        <v>172</v>
      </c>
      <c r="C5" s="151" t="s">
        <v>1</v>
      </c>
      <c r="D5" s="100" t="str">
        <f>VLOOKUP(U1,Data,2,0)</f>
        <v>VANESSA AURELIA MULJADI</v>
      </c>
      <c r="L5" s="150" t="s">
        <v>4</v>
      </c>
      <c r="M5" s="2"/>
      <c r="N5" s="2"/>
      <c r="O5" s="151" t="s">
        <v>1</v>
      </c>
      <c r="P5" s="297" t="str">
        <f>Cover!D20</f>
        <v>2017-2018</v>
      </c>
      <c r="Q5" s="297"/>
      <c r="R5" s="297"/>
    </row>
    <row r="6" spans="1:21" x14ac:dyDescent="0.2">
      <c r="B6" s="150" t="s">
        <v>173</v>
      </c>
      <c r="C6" s="151" t="s">
        <v>1</v>
      </c>
      <c r="D6" s="100">
        <f>VLOOKUP(U1,Data,3,0)</f>
        <v>0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304" t="s">
        <v>5</v>
      </c>
      <c r="B8" s="306" t="s">
        <v>6</v>
      </c>
      <c r="C8" s="307"/>
      <c r="D8" s="307"/>
      <c r="E8" s="308"/>
      <c r="F8" s="306" t="s">
        <v>229</v>
      </c>
      <c r="G8" s="308"/>
      <c r="H8" s="303" t="s">
        <v>32</v>
      </c>
      <c r="I8" s="303"/>
      <c r="J8" s="303"/>
      <c r="K8" s="303"/>
      <c r="L8" s="303"/>
      <c r="M8" s="303"/>
      <c r="N8" s="303"/>
      <c r="O8" s="303" t="s">
        <v>37</v>
      </c>
      <c r="P8" s="303"/>
      <c r="Q8" s="303"/>
      <c r="R8" s="312"/>
    </row>
    <row r="9" spans="1:21" ht="22.5" customHeight="1" thickBot="1" x14ac:dyDescent="0.25">
      <c r="A9" s="305"/>
      <c r="B9" s="309"/>
      <c r="C9" s="310"/>
      <c r="D9" s="310"/>
      <c r="E9" s="311"/>
      <c r="F9" s="309"/>
      <c r="G9" s="311"/>
      <c r="H9" s="260" t="s">
        <v>38</v>
      </c>
      <c r="I9" s="261"/>
      <c r="J9" s="261"/>
      <c r="K9" s="260" t="s">
        <v>39</v>
      </c>
      <c r="L9" s="261"/>
      <c r="M9" s="261"/>
      <c r="N9" s="262"/>
      <c r="O9" s="313"/>
      <c r="P9" s="313"/>
      <c r="Q9" s="313"/>
      <c r="R9" s="314"/>
    </row>
    <row r="10" spans="1:21" ht="24" customHeight="1" thickTop="1" x14ac:dyDescent="0.2">
      <c r="A10" s="13" t="s">
        <v>8</v>
      </c>
      <c r="B10" s="259" t="s">
        <v>9</v>
      </c>
      <c r="C10" s="259"/>
      <c r="D10" s="259"/>
      <c r="E10" s="259"/>
      <c r="F10" s="263">
        <f>W88</f>
        <v>0</v>
      </c>
      <c r="G10" s="227"/>
      <c r="H10" s="14"/>
      <c r="I10" s="76">
        <f>VLOOKUP(U1,Data,4,0)</f>
        <v>0</v>
      </c>
      <c r="J10" s="15"/>
      <c r="K10" s="227" t="str">
        <f t="shared" ref="K10:K23" si="0">VLOOKUP(I10,Score,2,0)</f>
        <v>zero</v>
      </c>
      <c r="L10" s="228"/>
      <c r="M10" s="228"/>
      <c r="N10" s="229"/>
      <c r="O10" s="227" t="str">
        <f>IF(I10&gt;F10,"above MSA",IF(I10=F10,"MSA","below MSA"))</f>
        <v>MSA</v>
      </c>
      <c r="P10" s="228"/>
      <c r="Q10" s="228"/>
      <c r="R10" s="302"/>
    </row>
    <row r="11" spans="1:21" ht="24" customHeight="1" x14ac:dyDescent="0.2">
      <c r="A11" s="16" t="s">
        <v>10</v>
      </c>
      <c r="B11" s="226" t="s">
        <v>11</v>
      </c>
      <c r="C11" s="226"/>
      <c r="D11" s="226"/>
      <c r="E11" s="226"/>
      <c r="F11" s="264">
        <f>W89</f>
        <v>0</v>
      </c>
      <c r="G11" s="243"/>
      <c r="H11" s="17"/>
      <c r="I11" s="18">
        <f>VLOOKUP(U1,Data,5,0)</f>
        <v>0</v>
      </c>
      <c r="J11" s="19"/>
      <c r="K11" s="227" t="str">
        <f t="shared" si="0"/>
        <v>zero</v>
      </c>
      <c r="L11" s="228"/>
      <c r="M11" s="228"/>
      <c r="N11" s="229"/>
      <c r="O11" s="243" t="str">
        <f t="shared" ref="O11:O23" si="1">IF(I11&gt;F11,"above MSA",IF(I11=F11,"MSA","below MSA"))</f>
        <v>MSA</v>
      </c>
      <c r="P11" s="250"/>
      <c r="Q11" s="250"/>
      <c r="R11" s="251"/>
    </row>
    <row r="12" spans="1:21" ht="24" customHeight="1" x14ac:dyDescent="0.2">
      <c r="A12" s="16" t="s">
        <v>12</v>
      </c>
      <c r="B12" s="226" t="s">
        <v>13</v>
      </c>
      <c r="C12" s="226"/>
      <c r="D12" s="226"/>
      <c r="E12" s="226"/>
      <c r="F12" s="243">
        <f t="shared" ref="F12:F23" si="2">W90</f>
        <v>0</v>
      </c>
      <c r="G12" s="244"/>
      <c r="H12" s="20"/>
      <c r="I12" s="75">
        <f>VLOOKUP(U1,Data,6,0)</f>
        <v>0</v>
      </c>
      <c r="J12" s="21"/>
      <c r="K12" s="227" t="str">
        <f t="shared" si="0"/>
        <v>zero</v>
      </c>
      <c r="L12" s="228"/>
      <c r="M12" s="228"/>
      <c r="N12" s="229"/>
      <c r="O12" s="243" t="str">
        <f t="shared" si="1"/>
        <v>MSA</v>
      </c>
      <c r="P12" s="250"/>
      <c r="Q12" s="250"/>
      <c r="R12" s="251"/>
    </row>
    <row r="13" spans="1:21" ht="24" customHeight="1" x14ac:dyDescent="0.2">
      <c r="A13" s="16" t="s">
        <v>14</v>
      </c>
      <c r="B13" s="226" t="s">
        <v>15</v>
      </c>
      <c r="C13" s="226"/>
      <c r="D13" s="226"/>
      <c r="E13" s="226"/>
      <c r="F13" s="243">
        <f t="shared" si="2"/>
        <v>0</v>
      </c>
      <c r="G13" s="244"/>
      <c r="H13" s="17"/>
      <c r="I13" s="18">
        <f>VLOOKUP(U1,Data,7,0)</f>
        <v>0</v>
      </c>
      <c r="J13" s="19"/>
      <c r="K13" s="227" t="str">
        <f t="shared" si="0"/>
        <v>zero</v>
      </c>
      <c r="L13" s="228"/>
      <c r="M13" s="228"/>
      <c r="N13" s="229"/>
      <c r="O13" s="243" t="str">
        <f t="shared" si="1"/>
        <v>MSA</v>
      </c>
      <c r="P13" s="250"/>
      <c r="Q13" s="250"/>
      <c r="R13" s="251"/>
    </row>
    <row r="14" spans="1:21" ht="24" customHeight="1" x14ac:dyDescent="0.2">
      <c r="A14" s="16" t="s">
        <v>16</v>
      </c>
      <c r="B14" s="226" t="s">
        <v>17</v>
      </c>
      <c r="C14" s="226"/>
      <c r="D14" s="226"/>
      <c r="E14" s="226"/>
      <c r="F14" s="243">
        <f t="shared" si="2"/>
        <v>0</v>
      </c>
      <c r="G14" s="244"/>
      <c r="H14" s="20"/>
      <c r="I14" s="75">
        <f>VLOOKUP(U1,Data,8,0)</f>
        <v>0</v>
      </c>
      <c r="J14" s="21"/>
      <c r="K14" s="227" t="str">
        <f t="shared" si="0"/>
        <v>zero</v>
      </c>
      <c r="L14" s="228"/>
      <c r="M14" s="228"/>
      <c r="N14" s="229"/>
      <c r="O14" s="243" t="str">
        <f t="shared" si="1"/>
        <v>MSA</v>
      </c>
      <c r="P14" s="250"/>
      <c r="Q14" s="250"/>
      <c r="R14" s="251"/>
    </row>
    <row r="15" spans="1:21" ht="24" customHeight="1" x14ac:dyDescent="0.2">
      <c r="A15" s="16" t="s">
        <v>18</v>
      </c>
      <c r="B15" s="226" t="s">
        <v>19</v>
      </c>
      <c r="C15" s="226"/>
      <c r="D15" s="226"/>
      <c r="E15" s="226"/>
      <c r="F15" s="243">
        <f t="shared" si="2"/>
        <v>0</v>
      </c>
      <c r="G15" s="244"/>
      <c r="H15" s="17"/>
      <c r="I15" s="18">
        <f>VLOOKUP(U1,Data,9,0)</f>
        <v>0</v>
      </c>
      <c r="J15" s="19"/>
      <c r="K15" s="227" t="str">
        <f t="shared" si="0"/>
        <v>zero</v>
      </c>
      <c r="L15" s="228"/>
      <c r="M15" s="228"/>
      <c r="N15" s="229"/>
      <c r="O15" s="243" t="str">
        <f t="shared" si="1"/>
        <v>MSA</v>
      </c>
      <c r="P15" s="250"/>
      <c r="Q15" s="250"/>
      <c r="R15" s="251"/>
    </row>
    <row r="16" spans="1:21" ht="24" customHeight="1" x14ac:dyDescent="0.2">
      <c r="A16" s="16" t="s">
        <v>20</v>
      </c>
      <c r="B16" s="226" t="s">
        <v>21</v>
      </c>
      <c r="C16" s="226"/>
      <c r="D16" s="226"/>
      <c r="E16" s="226"/>
      <c r="F16" s="243">
        <f t="shared" si="2"/>
        <v>0</v>
      </c>
      <c r="G16" s="244"/>
      <c r="H16" s="20"/>
      <c r="I16" s="75">
        <f>VLOOKUP(U1,Data,10,0)</f>
        <v>0</v>
      </c>
      <c r="J16" s="21"/>
      <c r="K16" s="227" t="str">
        <f t="shared" si="0"/>
        <v>zero</v>
      </c>
      <c r="L16" s="228"/>
      <c r="M16" s="228"/>
      <c r="N16" s="229"/>
      <c r="O16" s="243" t="str">
        <f t="shared" si="1"/>
        <v>MSA</v>
      </c>
      <c r="P16" s="250"/>
      <c r="Q16" s="250"/>
      <c r="R16" s="251"/>
    </row>
    <row r="17" spans="1:18" ht="24" customHeight="1" x14ac:dyDescent="0.2">
      <c r="A17" s="16" t="s">
        <v>22</v>
      </c>
      <c r="B17" s="226" t="s">
        <v>23</v>
      </c>
      <c r="C17" s="226"/>
      <c r="D17" s="226"/>
      <c r="E17" s="226"/>
      <c r="F17" s="243">
        <f t="shared" si="2"/>
        <v>0</v>
      </c>
      <c r="G17" s="244"/>
      <c r="H17" s="17"/>
      <c r="I17" s="18">
        <f>VLOOKUP(U1,Data,11,0)</f>
        <v>0</v>
      </c>
      <c r="J17" s="19"/>
      <c r="K17" s="227" t="str">
        <f t="shared" si="0"/>
        <v>zero</v>
      </c>
      <c r="L17" s="228"/>
      <c r="M17" s="228"/>
      <c r="N17" s="229"/>
      <c r="O17" s="243" t="str">
        <f t="shared" si="1"/>
        <v>MSA</v>
      </c>
      <c r="P17" s="250"/>
      <c r="Q17" s="250"/>
      <c r="R17" s="251"/>
    </row>
    <row r="18" spans="1:18" ht="24" customHeight="1" x14ac:dyDescent="0.2">
      <c r="A18" s="16" t="s">
        <v>24</v>
      </c>
      <c r="B18" s="226" t="s">
        <v>256</v>
      </c>
      <c r="C18" s="226"/>
      <c r="D18" s="226"/>
      <c r="E18" s="226"/>
      <c r="F18" s="243">
        <f t="shared" si="2"/>
        <v>0</v>
      </c>
      <c r="G18" s="244"/>
      <c r="H18" s="20"/>
      <c r="I18" s="75">
        <f>VLOOKUP(U1,Data,12,0)</f>
        <v>0</v>
      </c>
      <c r="J18" s="21"/>
      <c r="K18" s="227" t="str">
        <f t="shared" si="0"/>
        <v>zero</v>
      </c>
      <c r="L18" s="228"/>
      <c r="M18" s="228"/>
      <c r="N18" s="229"/>
      <c r="O18" s="243" t="str">
        <f t="shared" si="1"/>
        <v>MSA</v>
      </c>
      <c r="P18" s="250"/>
      <c r="Q18" s="250"/>
      <c r="R18" s="251"/>
    </row>
    <row r="19" spans="1:18" ht="24" customHeight="1" x14ac:dyDescent="0.2">
      <c r="A19" s="16" t="s">
        <v>25</v>
      </c>
      <c r="B19" s="226" t="s">
        <v>29</v>
      </c>
      <c r="C19" s="226"/>
      <c r="D19" s="226"/>
      <c r="E19" s="226"/>
      <c r="F19" s="243">
        <f t="shared" si="2"/>
        <v>0</v>
      </c>
      <c r="G19" s="244"/>
      <c r="H19" s="17"/>
      <c r="I19" s="18">
        <f>VLOOKUP(U1,Data,13,0)</f>
        <v>0</v>
      </c>
      <c r="J19" s="19"/>
      <c r="K19" s="227" t="str">
        <f t="shared" si="0"/>
        <v>zero</v>
      </c>
      <c r="L19" s="228"/>
      <c r="M19" s="228"/>
      <c r="N19" s="229"/>
      <c r="O19" s="243" t="str">
        <f t="shared" si="1"/>
        <v>MSA</v>
      </c>
      <c r="P19" s="250"/>
      <c r="Q19" s="250"/>
      <c r="R19" s="251"/>
    </row>
    <row r="20" spans="1:18" ht="24" customHeight="1" x14ac:dyDescent="0.2">
      <c r="A20" s="16" t="s">
        <v>27</v>
      </c>
      <c r="B20" s="226" t="s">
        <v>26</v>
      </c>
      <c r="C20" s="226"/>
      <c r="D20" s="226"/>
      <c r="E20" s="226"/>
      <c r="F20" s="243">
        <f t="shared" si="2"/>
        <v>0</v>
      </c>
      <c r="G20" s="244"/>
      <c r="H20" s="20"/>
      <c r="I20" s="75">
        <f>VLOOKUP(U1,Data,14,0)</f>
        <v>0</v>
      </c>
      <c r="J20" s="21"/>
      <c r="K20" s="227" t="str">
        <f t="shared" si="0"/>
        <v>zero</v>
      </c>
      <c r="L20" s="228"/>
      <c r="M20" s="228"/>
      <c r="N20" s="229"/>
      <c r="O20" s="243" t="str">
        <f t="shared" si="1"/>
        <v>MSA</v>
      </c>
      <c r="P20" s="250"/>
      <c r="Q20" s="250"/>
      <c r="R20" s="251"/>
    </row>
    <row r="21" spans="1:18" ht="24" customHeight="1" x14ac:dyDescent="0.2">
      <c r="A21" s="16" t="s">
        <v>28</v>
      </c>
      <c r="B21" s="226" t="s">
        <v>30</v>
      </c>
      <c r="C21" s="226"/>
      <c r="D21" s="226"/>
      <c r="E21" s="226"/>
      <c r="F21" s="243">
        <f t="shared" si="2"/>
        <v>0</v>
      </c>
      <c r="G21" s="244"/>
      <c r="H21" s="20"/>
      <c r="I21" s="75">
        <f>VLOOKUP(U1,Data,15,0)</f>
        <v>0</v>
      </c>
      <c r="J21" s="21"/>
      <c r="K21" s="227" t="str">
        <f t="shared" si="0"/>
        <v>zero</v>
      </c>
      <c r="L21" s="228"/>
      <c r="M21" s="228"/>
      <c r="N21" s="229"/>
      <c r="O21" s="243" t="str">
        <f t="shared" si="1"/>
        <v>MSA</v>
      </c>
      <c r="P21" s="250"/>
      <c r="Q21" s="250"/>
      <c r="R21" s="251"/>
    </row>
    <row r="22" spans="1:18" ht="24" customHeight="1" x14ac:dyDescent="0.2">
      <c r="A22" s="160" t="s">
        <v>224</v>
      </c>
      <c r="B22" s="255" t="s">
        <v>257</v>
      </c>
      <c r="C22" s="256"/>
      <c r="D22" s="256"/>
      <c r="E22" s="257"/>
      <c r="F22" s="243">
        <f t="shared" si="2"/>
        <v>0</v>
      </c>
      <c r="G22" s="244"/>
      <c r="H22" s="17"/>
      <c r="I22" s="75">
        <f>VLOOKUP(U1,Data2,16,0)</f>
        <v>0</v>
      </c>
      <c r="J22" s="19"/>
      <c r="K22" s="227" t="str">
        <f t="shared" ref="K22" si="3">VLOOKUP(I22,Score,2,0)</f>
        <v>zero</v>
      </c>
      <c r="L22" s="228"/>
      <c r="M22" s="228"/>
      <c r="N22" s="229"/>
      <c r="O22" s="243" t="str">
        <f t="shared" si="1"/>
        <v>MSA</v>
      </c>
      <c r="P22" s="250"/>
      <c r="Q22" s="250"/>
      <c r="R22" s="251"/>
    </row>
    <row r="23" spans="1:18" ht="24" customHeight="1" thickBot="1" x14ac:dyDescent="0.25">
      <c r="A23" s="119" t="s">
        <v>250</v>
      </c>
      <c r="B23" s="258" t="s">
        <v>266</v>
      </c>
      <c r="C23" s="258"/>
      <c r="D23" s="258"/>
      <c r="E23" s="258"/>
      <c r="F23" s="245">
        <f t="shared" si="2"/>
        <v>0</v>
      </c>
      <c r="G23" s="246"/>
      <c r="H23" s="22"/>
      <c r="I23" s="77">
        <f>VLOOKUP(U1,Data2,32,0)</f>
        <v>0</v>
      </c>
      <c r="J23" s="23"/>
      <c r="K23" s="245" t="str">
        <f t="shared" si="0"/>
        <v>zero</v>
      </c>
      <c r="L23" s="253"/>
      <c r="M23" s="253"/>
      <c r="N23" s="246"/>
      <c r="O23" s="245" t="str">
        <f t="shared" si="1"/>
        <v>MSA</v>
      </c>
      <c r="P23" s="253"/>
      <c r="Q23" s="253"/>
      <c r="R23" s="254"/>
    </row>
    <row r="24" spans="1:18" ht="18.75" customHeight="1" thickTop="1" thickBot="1" x14ac:dyDescent="0.25">
      <c r="A24" s="8"/>
    </row>
    <row r="25" spans="1:18" ht="27" customHeight="1" thickTop="1" x14ac:dyDescent="0.2">
      <c r="A25" s="24" t="s">
        <v>5</v>
      </c>
      <c r="B25" s="247" t="s">
        <v>31</v>
      </c>
      <c r="C25" s="247"/>
      <c r="D25" s="247"/>
      <c r="E25" s="247" t="s">
        <v>32</v>
      </c>
      <c r="F25" s="247"/>
      <c r="G25" s="247"/>
      <c r="H25" s="248" t="s">
        <v>33</v>
      </c>
      <c r="I25" s="248"/>
      <c r="J25" s="248"/>
      <c r="K25" s="248"/>
      <c r="L25" s="248"/>
      <c r="M25" s="248"/>
      <c r="N25" s="248"/>
      <c r="O25" s="248"/>
      <c r="P25" s="248"/>
      <c r="Q25" s="248"/>
      <c r="R25" s="249"/>
    </row>
    <row r="26" spans="1:18" ht="18.75" customHeight="1" x14ac:dyDescent="0.2">
      <c r="A26" s="25" t="s">
        <v>8</v>
      </c>
      <c r="B26" s="235" t="str">
        <f>VLOOKUP(U1,Data,20,0)</f>
        <v xml:space="preserve"> </v>
      </c>
      <c r="C26" s="235"/>
      <c r="D26" s="235"/>
      <c r="E26" s="235" t="str">
        <f>VLOOKUP(U1,Data,21,0)</f>
        <v xml:space="preserve"> </v>
      </c>
      <c r="F26" s="235"/>
      <c r="G26" s="235"/>
      <c r="H26" s="236"/>
      <c r="I26" s="236"/>
      <c r="J26" s="236"/>
      <c r="K26" s="236"/>
      <c r="L26" s="236"/>
      <c r="M26" s="236"/>
      <c r="N26" s="236"/>
      <c r="O26" s="236"/>
      <c r="P26" s="236"/>
      <c r="Q26" s="236"/>
      <c r="R26" s="237"/>
    </row>
    <row r="27" spans="1:18" ht="18.75" customHeight="1" thickBot="1" x14ac:dyDescent="0.25">
      <c r="A27" s="26" t="s">
        <v>10</v>
      </c>
      <c r="B27" s="238" t="str">
        <f>VLOOKUP(U1,Data,22,0)</f>
        <v xml:space="preserve"> </v>
      </c>
      <c r="C27" s="238"/>
      <c r="D27" s="238"/>
      <c r="E27" s="238" t="str">
        <f>VLOOKUP(U1,Data,23,0)</f>
        <v xml:space="preserve"> </v>
      </c>
      <c r="F27" s="238"/>
      <c r="G27" s="238"/>
      <c r="H27" s="239"/>
      <c r="I27" s="239"/>
      <c r="J27" s="239"/>
      <c r="K27" s="239"/>
      <c r="L27" s="239"/>
      <c r="M27" s="239"/>
      <c r="N27" s="239"/>
      <c r="O27" s="239"/>
      <c r="P27" s="239"/>
      <c r="Q27" s="239"/>
      <c r="R27" s="240"/>
    </row>
    <row r="28" spans="1:18" ht="18.75" customHeight="1" thickTop="1" thickBot="1" x14ac:dyDescent="0.25">
      <c r="A28" s="8"/>
    </row>
    <row r="29" spans="1:18" ht="30" customHeight="1" thickTop="1" thickBot="1" x14ac:dyDescent="0.25">
      <c r="A29" s="252" t="s">
        <v>34</v>
      </c>
      <c r="B29" s="252"/>
      <c r="C29" s="252"/>
      <c r="D29" s="252"/>
      <c r="E29" s="27" t="s">
        <v>131</v>
      </c>
      <c r="F29" s="28" t="str">
        <f>VLOOKUP(U1,Data,17,0)</f>
        <v>-</v>
      </c>
      <c r="G29" s="241" t="s">
        <v>132</v>
      </c>
      <c r="H29" s="242"/>
      <c r="I29" s="29"/>
      <c r="J29" s="30" t="str">
        <f>VLOOKUP(U1,Data,18,0)</f>
        <v>-</v>
      </c>
      <c r="K29" s="29"/>
      <c r="L29" s="29"/>
      <c r="M29" s="31"/>
      <c r="N29" s="300" t="s">
        <v>133</v>
      </c>
      <c r="O29" s="301"/>
      <c r="P29" s="301"/>
      <c r="Q29" s="30" t="str">
        <f>VLOOKUP(U1,Data,19,0)</f>
        <v>-</v>
      </c>
      <c r="R29" s="31"/>
    </row>
    <row r="30" spans="1:18" ht="18.75" customHeight="1" thickTop="1" thickBot="1" x14ac:dyDescent="0.25">
      <c r="A30" s="8"/>
    </row>
    <row r="31" spans="1:18" ht="80.099999999999994" customHeight="1" thickTop="1" x14ac:dyDescent="0.2">
      <c r="A31" s="230" t="str">
        <f>Cover!K19</f>
        <v xml:space="preserve">Jakarta, </v>
      </c>
      <c r="B31" s="231"/>
      <c r="C31" s="32"/>
      <c r="D31" s="232" t="s">
        <v>35</v>
      </c>
      <c r="E31" s="232"/>
      <c r="F31" s="232"/>
      <c r="G31" s="232"/>
      <c r="H31" s="232"/>
      <c r="I31" s="232" t="s">
        <v>36</v>
      </c>
      <c r="J31" s="232"/>
      <c r="K31" s="232"/>
      <c r="L31" s="232"/>
      <c r="M31" s="232"/>
      <c r="N31" s="233" t="s">
        <v>259</v>
      </c>
      <c r="O31" s="233"/>
      <c r="P31" s="233"/>
      <c r="Q31" s="233"/>
      <c r="R31" s="234"/>
    </row>
    <row r="32" spans="1:18" ht="30" customHeight="1" thickBot="1" x14ac:dyDescent="0.25">
      <c r="A32" s="33"/>
      <c r="B32" s="34"/>
      <c r="C32" s="34"/>
      <c r="D32" s="288" t="s">
        <v>40</v>
      </c>
      <c r="E32" s="288"/>
      <c r="F32" s="288"/>
      <c r="G32" s="288"/>
      <c r="H32" s="288"/>
      <c r="I32" s="289">
        <f>D190</f>
        <v>0</v>
      </c>
      <c r="J32" s="289"/>
      <c r="K32" s="289"/>
      <c r="L32" s="289"/>
      <c r="M32" s="289"/>
      <c r="N32" s="290" t="s">
        <v>262</v>
      </c>
      <c r="O32" s="290"/>
      <c r="P32" s="290"/>
      <c r="Q32" s="290"/>
      <c r="R32" s="291"/>
    </row>
    <row r="33" spans="1:18" ht="18.75" customHeight="1" thickTop="1" x14ac:dyDescent="0.2">
      <c r="A33" s="132"/>
      <c r="B33" s="5"/>
      <c r="C33" s="5"/>
      <c r="D33" s="133"/>
      <c r="E33" s="133"/>
      <c r="F33" s="133"/>
      <c r="G33" s="133"/>
      <c r="H33" s="133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1:18" ht="18.75" customHeight="1" x14ac:dyDescent="0.2">
      <c r="A34" s="135" t="s">
        <v>228</v>
      </c>
      <c r="B34" s="123"/>
      <c r="C34" s="123"/>
      <c r="D34" s="136"/>
      <c r="E34" s="136"/>
      <c r="F34" s="136"/>
      <c r="G34" s="136"/>
      <c r="H34" s="136"/>
      <c r="I34" s="137"/>
      <c r="J34" s="137"/>
      <c r="K34" s="137"/>
      <c r="L34" s="137"/>
      <c r="M34" s="137"/>
      <c r="N34" s="137"/>
      <c r="O34" s="137"/>
      <c r="P34" s="137"/>
      <c r="Q34" s="137"/>
      <c r="R34" s="137"/>
    </row>
    <row r="35" spans="1:18" ht="18.75" customHeight="1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5" t="s">
        <v>258</v>
      </c>
      <c r="B36" s="95"/>
      <c r="C36" s="95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224" t="s">
        <v>178</v>
      </c>
      <c r="Q36" s="224"/>
      <c r="R36" s="224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68" t="s">
        <v>230</v>
      </c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268"/>
      <c r="N39" s="268"/>
      <c r="O39" s="268"/>
      <c r="P39" s="268"/>
      <c r="Q39" s="268"/>
      <c r="R39" s="268"/>
    </row>
    <row r="40" spans="1:18" x14ac:dyDescent="0.2">
      <c r="A40" s="10"/>
    </row>
    <row r="41" spans="1:18" x14ac:dyDescent="0.2">
      <c r="A41" s="10"/>
      <c r="B41" s="150" t="s">
        <v>169</v>
      </c>
      <c r="C41" s="151" t="s">
        <v>1</v>
      </c>
      <c r="D41" s="11" t="s">
        <v>258</v>
      </c>
      <c r="E41" s="11"/>
      <c r="F41" s="11"/>
      <c r="G41" s="11"/>
      <c r="H41" s="11"/>
      <c r="I41" s="11"/>
      <c r="L41" s="150" t="s">
        <v>129</v>
      </c>
      <c r="M41" s="2"/>
      <c r="N41" s="150"/>
      <c r="O41" s="151" t="s">
        <v>1</v>
      </c>
      <c r="P41" s="298" t="str">
        <f>Cover!K18</f>
        <v>12 Science 2</v>
      </c>
      <c r="Q41" s="299"/>
      <c r="R41" s="299"/>
    </row>
    <row r="42" spans="1:18" x14ac:dyDescent="0.2">
      <c r="A42" s="10"/>
      <c r="B42" s="150" t="s">
        <v>170</v>
      </c>
      <c r="C42" s="151" t="s">
        <v>1</v>
      </c>
      <c r="D42" s="11" t="s">
        <v>171</v>
      </c>
      <c r="E42" s="11"/>
      <c r="F42" s="11"/>
      <c r="G42" s="11"/>
      <c r="H42" s="11"/>
      <c r="I42" s="11"/>
      <c r="L42" s="150" t="s">
        <v>2</v>
      </c>
      <c r="M42" s="2"/>
      <c r="N42" s="2"/>
      <c r="O42" s="151" t="s">
        <v>1</v>
      </c>
      <c r="P42" s="299" t="str">
        <f>Cover!D19</f>
        <v>1 (one)</v>
      </c>
      <c r="Q42" s="299"/>
      <c r="R42" s="299"/>
    </row>
    <row r="43" spans="1:18" x14ac:dyDescent="0.2">
      <c r="B43" s="150" t="s">
        <v>0</v>
      </c>
      <c r="C43" s="151" t="s">
        <v>1</v>
      </c>
      <c r="D43" s="100" t="str">
        <f>D5</f>
        <v>VANESSA AURELIA MULJADI</v>
      </c>
      <c r="L43" s="150" t="s">
        <v>4</v>
      </c>
      <c r="M43" s="2"/>
      <c r="N43" s="2"/>
      <c r="O43" s="151" t="s">
        <v>1</v>
      </c>
      <c r="P43" s="299" t="str">
        <f>Cover!D20</f>
        <v>2017-2018</v>
      </c>
      <c r="Q43" s="299"/>
      <c r="R43" s="299"/>
    </row>
    <row r="44" spans="1:18" x14ac:dyDescent="0.2">
      <c r="B44" s="150" t="s">
        <v>3</v>
      </c>
      <c r="C44" s="151" t="s">
        <v>1</v>
      </c>
      <c r="D44" s="100">
        <f>D6</f>
        <v>0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2" t="s">
        <v>41</v>
      </c>
      <c r="B46" s="153" t="s">
        <v>42</v>
      </c>
      <c r="C46" s="225" t="s">
        <v>43</v>
      </c>
      <c r="D46" s="225"/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66" t="s">
        <v>51</v>
      </c>
      <c r="Q46" s="266"/>
      <c r="R46" s="267"/>
    </row>
    <row r="47" spans="1:18" ht="18" customHeight="1" thickTop="1" x14ac:dyDescent="0.2">
      <c r="A47" s="270">
        <v>1</v>
      </c>
      <c r="B47" s="273" t="s">
        <v>44</v>
      </c>
      <c r="C47" s="40">
        <v>1.1000000000000001</v>
      </c>
      <c r="D47" s="221" t="s">
        <v>52</v>
      </c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75" t="str">
        <f>VLOOKUP(U1,Data1,24,0)</f>
        <v>E</v>
      </c>
      <c r="Q47" s="276"/>
      <c r="R47" s="277"/>
    </row>
    <row r="48" spans="1:18" ht="18" customHeight="1" x14ac:dyDescent="0.2">
      <c r="A48" s="270"/>
      <c r="B48" s="273"/>
      <c r="C48" s="42">
        <v>1.2</v>
      </c>
      <c r="D48" s="222" t="s">
        <v>267</v>
      </c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78"/>
      <c r="Q48" s="279"/>
      <c r="R48" s="280"/>
    </row>
    <row r="49" spans="1:18" ht="18" customHeight="1" thickBot="1" x14ac:dyDescent="0.25">
      <c r="A49" s="271"/>
      <c r="B49" s="274"/>
      <c r="C49" s="44">
        <v>1.3</v>
      </c>
      <c r="D49" s="220" t="s">
        <v>53</v>
      </c>
      <c r="E49" s="220"/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81"/>
      <c r="Q49" s="282"/>
      <c r="R49" s="283"/>
    </row>
    <row r="50" spans="1:18" ht="18" customHeight="1" x14ac:dyDescent="0.2">
      <c r="A50" s="270">
        <v>2</v>
      </c>
      <c r="B50" s="273" t="s">
        <v>45</v>
      </c>
      <c r="C50" s="45">
        <v>2.1</v>
      </c>
      <c r="D50" s="221" t="s">
        <v>268</v>
      </c>
      <c r="E50" s="221"/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84" t="str">
        <f>VLOOKUP(U1,Data1,25,0)</f>
        <v>E</v>
      </c>
      <c r="Q50" s="285"/>
      <c r="R50" s="286"/>
    </row>
    <row r="51" spans="1:18" ht="18" customHeight="1" x14ac:dyDescent="0.2">
      <c r="A51" s="270"/>
      <c r="B51" s="273"/>
      <c r="C51" s="46">
        <v>2.2000000000000002</v>
      </c>
      <c r="D51" s="222" t="s">
        <v>269</v>
      </c>
      <c r="E51" s="222"/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78"/>
      <c r="Q51" s="279"/>
      <c r="R51" s="280"/>
    </row>
    <row r="52" spans="1:18" ht="18" customHeight="1" x14ac:dyDescent="0.2">
      <c r="A52" s="270"/>
      <c r="B52" s="273"/>
      <c r="C52" s="46">
        <v>2.2999999999999998</v>
      </c>
      <c r="D52" s="222" t="s">
        <v>54</v>
      </c>
      <c r="E52" s="222"/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78"/>
      <c r="Q52" s="279"/>
      <c r="R52" s="280"/>
    </row>
    <row r="53" spans="1:18" ht="18" customHeight="1" thickBot="1" x14ac:dyDescent="0.25">
      <c r="A53" s="270"/>
      <c r="B53" s="273"/>
      <c r="C53" s="47">
        <v>2.4</v>
      </c>
      <c r="D53" s="223" t="s">
        <v>270</v>
      </c>
      <c r="E53" s="223"/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81"/>
      <c r="Q53" s="282"/>
      <c r="R53" s="283"/>
    </row>
    <row r="54" spans="1:18" ht="18" customHeight="1" x14ac:dyDescent="0.2">
      <c r="A54" s="269">
        <v>3</v>
      </c>
      <c r="B54" s="272" t="s">
        <v>46</v>
      </c>
      <c r="C54" s="48">
        <v>3.1</v>
      </c>
      <c r="D54" s="265" t="s">
        <v>271</v>
      </c>
      <c r="E54" s="265"/>
      <c r="F54" s="265"/>
      <c r="G54" s="265"/>
      <c r="H54" s="265"/>
      <c r="I54" s="265"/>
      <c r="J54" s="265"/>
      <c r="K54" s="265"/>
      <c r="L54" s="265"/>
      <c r="M54" s="265"/>
      <c r="N54" s="265"/>
      <c r="O54" s="265"/>
      <c r="P54" s="284" t="str">
        <f>VLOOKUP(U1,Data1,26,0)</f>
        <v>E</v>
      </c>
      <c r="Q54" s="285"/>
      <c r="R54" s="286"/>
    </row>
    <row r="55" spans="1:18" ht="18" customHeight="1" thickBot="1" x14ac:dyDescent="0.25">
      <c r="A55" s="271"/>
      <c r="B55" s="274"/>
      <c r="C55" s="49">
        <v>3.2</v>
      </c>
      <c r="D55" s="220" t="s">
        <v>272</v>
      </c>
      <c r="E55" s="220"/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281"/>
      <c r="Q55" s="282"/>
      <c r="R55" s="283"/>
    </row>
    <row r="56" spans="1:18" ht="18" hidden="1" customHeight="1" x14ac:dyDescent="0.2">
      <c r="A56" s="270">
        <v>4</v>
      </c>
      <c r="B56" s="273" t="s">
        <v>273</v>
      </c>
      <c r="C56" s="45">
        <v>4.0999999999999996</v>
      </c>
      <c r="D56" s="221" t="s">
        <v>55</v>
      </c>
      <c r="E56" s="221"/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84" t="str">
        <f>VLOOKUP(U1,Data1,27,0)</f>
        <v>E</v>
      </c>
      <c r="Q56" s="285"/>
      <c r="R56" s="286"/>
    </row>
    <row r="57" spans="1:18" ht="18" customHeight="1" x14ac:dyDescent="0.2">
      <c r="A57" s="270"/>
      <c r="B57" s="273"/>
      <c r="C57" s="46">
        <v>4.0999999999999996</v>
      </c>
      <c r="D57" s="222" t="s">
        <v>274</v>
      </c>
      <c r="E57" s="222"/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78"/>
      <c r="Q57" s="279"/>
      <c r="R57" s="280"/>
    </row>
    <row r="58" spans="1:18" ht="18" customHeight="1" x14ac:dyDescent="0.2">
      <c r="A58" s="270"/>
      <c r="B58" s="273"/>
      <c r="C58" s="46">
        <v>4.2</v>
      </c>
      <c r="D58" s="222" t="s">
        <v>275</v>
      </c>
      <c r="E58" s="222"/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78"/>
      <c r="Q58" s="279"/>
      <c r="R58" s="280"/>
    </row>
    <row r="59" spans="1:18" ht="18" customHeight="1" thickBot="1" x14ac:dyDescent="0.25">
      <c r="A59" s="270"/>
      <c r="B59" s="273"/>
      <c r="C59" s="47">
        <v>4.3</v>
      </c>
      <c r="D59" s="223" t="s">
        <v>276</v>
      </c>
      <c r="E59" s="223"/>
      <c r="F59" s="223"/>
      <c r="G59" s="223"/>
      <c r="H59" s="223"/>
      <c r="I59" s="223"/>
      <c r="J59" s="223"/>
      <c r="K59" s="223"/>
      <c r="L59" s="223"/>
      <c r="M59" s="223"/>
      <c r="N59" s="223"/>
      <c r="O59" s="223"/>
      <c r="P59" s="281"/>
      <c r="Q59" s="282"/>
      <c r="R59" s="283"/>
    </row>
    <row r="60" spans="1:18" ht="18" customHeight="1" x14ac:dyDescent="0.2">
      <c r="A60" s="269">
        <v>5</v>
      </c>
      <c r="B60" s="272" t="s">
        <v>157</v>
      </c>
      <c r="C60" s="48">
        <v>5.0999999999999996</v>
      </c>
      <c r="D60" s="265" t="s">
        <v>277</v>
      </c>
      <c r="E60" s="265"/>
      <c r="F60" s="265"/>
      <c r="G60" s="265"/>
      <c r="H60" s="265"/>
      <c r="I60" s="265"/>
      <c r="J60" s="265"/>
      <c r="K60" s="265"/>
      <c r="L60" s="265"/>
      <c r="M60" s="265"/>
      <c r="N60" s="265"/>
      <c r="O60" s="265"/>
      <c r="P60" s="284" t="str">
        <f>VLOOKUP(U1,Data1,28,0)</f>
        <v>E</v>
      </c>
      <c r="Q60" s="285"/>
      <c r="R60" s="286"/>
    </row>
    <row r="61" spans="1:18" ht="18" customHeight="1" x14ac:dyDescent="0.2">
      <c r="A61" s="270"/>
      <c r="B61" s="273"/>
      <c r="C61" s="46">
        <v>5.2</v>
      </c>
      <c r="D61" s="222" t="s">
        <v>278</v>
      </c>
      <c r="E61" s="222"/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78"/>
      <c r="Q61" s="279"/>
      <c r="R61" s="280"/>
    </row>
    <row r="62" spans="1:18" ht="18" customHeight="1" thickBot="1" x14ac:dyDescent="0.25">
      <c r="A62" s="271"/>
      <c r="B62" s="274"/>
      <c r="C62" s="49">
        <v>5.3</v>
      </c>
      <c r="D62" s="220" t="s">
        <v>158</v>
      </c>
      <c r="E62" s="220"/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81"/>
      <c r="Q62" s="282"/>
      <c r="R62" s="283"/>
    </row>
    <row r="63" spans="1:18" ht="18" customHeight="1" x14ac:dyDescent="0.2">
      <c r="A63" s="270">
        <v>6</v>
      </c>
      <c r="B63" s="273" t="s">
        <v>48</v>
      </c>
      <c r="C63" s="45">
        <v>6.1</v>
      </c>
      <c r="D63" s="221" t="s">
        <v>279</v>
      </c>
      <c r="E63" s="221"/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84" t="str">
        <f>VLOOKUP(U1,Data1,29,0)</f>
        <v>E</v>
      </c>
      <c r="Q63" s="285"/>
      <c r="R63" s="286"/>
    </row>
    <row r="64" spans="1:18" ht="18" customHeight="1" x14ac:dyDescent="0.2">
      <c r="A64" s="270"/>
      <c r="B64" s="273"/>
      <c r="C64" s="46">
        <v>6.2</v>
      </c>
      <c r="D64" s="222" t="s">
        <v>280</v>
      </c>
      <c r="E64" s="222"/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78"/>
      <c r="Q64" s="279"/>
      <c r="R64" s="280"/>
    </row>
    <row r="65" spans="1:18" ht="18" customHeight="1" x14ac:dyDescent="0.2">
      <c r="A65" s="270"/>
      <c r="B65" s="273"/>
      <c r="C65" s="46">
        <v>6.3</v>
      </c>
      <c r="D65" s="222" t="s">
        <v>281</v>
      </c>
      <c r="E65" s="222"/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78"/>
      <c r="Q65" s="279"/>
      <c r="R65" s="280"/>
    </row>
    <row r="66" spans="1:18" ht="18" customHeight="1" thickBot="1" x14ac:dyDescent="0.25">
      <c r="A66" s="270"/>
      <c r="B66" s="273"/>
      <c r="C66" s="47">
        <v>6.4</v>
      </c>
      <c r="D66" s="223" t="s">
        <v>282</v>
      </c>
      <c r="E66" s="223"/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81"/>
      <c r="Q66" s="282"/>
      <c r="R66" s="283"/>
    </row>
    <row r="67" spans="1:18" ht="18" customHeight="1" x14ac:dyDescent="0.2">
      <c r="A67" s="269">
        <v>7</v>
      </c>
      <c r="B67" s="272" t="s">
        <v>49</v>
      </c>
      <c r="C67" s="48">
        <v>7.1</v>
      </c>
      <c r="D67" s="265" t="s">
        <v>56</v>
      </c>
      <c r="E67" s="265"/>
      <c r="F67" s="265"/>
      <c r="G67" s="265"/>
      <c r="H67" s="265"/>
      <c r="I67" s="265"/>
      <c r="J67" s="265"/>
      <c r="K67" s="265"/>
      <c r="L67" s="265"/>
      <c r="M67" s="265"/>
      <c r="N67" s="265"/>
      <c r="O67" s="265"/>
      <c r="P67" s="284" t="str">
        <f>VLOOKUP(U1,Data1,30,0)</f>
        <v>E</v>
      </c>
      <c r="Q67" s="285"/>
      <c r="R67" s="286"/>
    </row>
    <row r="68" spans="1:18" ht="18" customHeight="1" x14ac:dyDescent="0.2">
      <c r="A68" s="270"/>
      <c r="B68" s="273"/>
      <c r="C68" s="46">
        <v>7.2</v>
      </c>
      <c r="D68" s="222" t="s">
        <v>283</v>
      </c>
      <c r="E68" s="222"/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78"/>
      <c r="Q68" s="279"/>
      <c r="R68" s="280"/>
    </row>
    <row r="69" spans="1:18" ht="18" customHeight="1" x14ac:dyDescent="0.2">
      <c r="A69" s="270"/>
      <c r="B69" s="273"/>
      <c r="C69" s="46">
        <v>7.3</v>
      </c>
      <c r="D69" s="222" t="s">
        <v>284</v>
      </c>
      <c r="E69" s="222"/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78"/>
      <c r="Q69" s="279"/>
      <c r="R69" s="280"/>
    </row>
    <row r="70" spans="1:18" ht="18" customHeight="1" x14ac:dyDescent="0.2">
      <c r="A70" s="270"/>
      <c r="B70" s="273"/>
      <c r="C70" s="46">
        <v>7.4</v>
      </c>
      <c r="D70" s="222" t="s">
        <v>285</v>
      </c>
      <c r="E70" s="222"/>
      <c r="F70" s="222"/>
      <c r="G70" s="222"/>
      <c r="H70" s="222"/>
      <c r="I70" s="222"/>
      <c r="J70" s="222"/>
      <c r="K70" s="222"/>
      <c r="L70" s="222"/>
      <c r="M70" s="222"/>
      <c r="N70" s="222"/>
      <c r="O70" s="222"/>
      <c r="P70" s="278"/>
      <c r="Q70" s="279"/>
      <c r="R70" s="280"/>
    </row>
    <row r="71" spans="1:18" ht="18" customHeight="1" thickBot="1" x14ac:dyDescent="0.25">
      <c r="A71" s="271"/>
      <c r="B71" s="274"/>
      <c r="C71" s="49">
        <v>7.5</v>
      </c>
      <c r="D71" s="220" t="s">
        <v>286</v>
      </c>
      <c r="E71" s="220"/>
      <c r="F71" s="220"/>
      <c r="G71" s="220"/>
      <c r="H71" s="220"/>
      <c r="I71" s="220"/>
      <c r="J71" s="220"/>
      <c r="K71" s="220"/>
      <c r="L71" s="220"/>
      <c r="M71" s="220"/>
      <c r="N71" s="220"/>
      <c r="O71" s="220"/>
      <c r="P71" s="281"/>
      <c r="Q71" s="282"/>
      <c r="R71" s="283"/>
    </row>
    <row r="72" spans="1:18" ht="18" customHeight="1" x14ac:dyDescent="0.2">
      <c r="A72" s="269">
        <v>8</v>
      </c>
      <c r="B72" s="272" t="s">
        <v>50</v>
      </c>
      <c r="C72" s="48">
        <v>8.1</v>
      </c>
      <c r="D72" s="265" t="s">
        <v>287</v>
      </c>
      <c r="E72" s="265"/>
      <c r="F72" s="265"/>
      <c r="G72" s="265"/>
      <c r="H72" s="265"/>
      <c r="I72" s="265"/>
      <c r="J72" s="265"/>
      <c r="K72" s="265"/>
      <c r="L72" s="265"/>
      <c r="M72" s="265"/>
      <c r="N72" s="265"/>
      <c r="O72" s="265"/>
      <c r="P72" s="284" t="str">
        <f>VLOOKUP(U1,Data1,31,0)</f>
        <v>E</v>
      </c>
      <c r="Q72" s="285"/>
      <c r="R72" s="286"/>
    </row>
    <row r="73" spans="1:18" ht="18" customHeight="1" x14ac:dyDescent="0.2">
      <c r="A73" s="270"/>
      <c r="B73" s="273"/>
      <c r="C73" s="46">
        <v>8.1999999999999993</v>
      </c>
      <c r="D73" s="222" t="s">
        <v>176</v>
      </c>
      <c r="E73" s="222"/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78"/>
      <c r="Q73" s="279"/>
      <c r="R73" s="280"/>
    </row>
    <row r="74" spans="1:18" ht="18" customHeight="1" x14ac:dyDescent="0.2">
      <c r="A74" s="270"/>
      <c r="B74" s="273"/>
      <c r="C74" s="317">
        <v>8.3000000000000007</v>
      </c>
      <c r="D74" s="226" t="s">
        <v>288</v>
      </c>
      <c r="E74" s="226"/>
      <c r="F74" s="226"/>
      <c r="G74" s="226"/>
      <c r="H74" s="226"/>
      <c r="I74" s="226"/>
      <c r="J74" s="226"/>
      <c r="K74" s="226"/>
      <c r="L74" s="226"/>
      <c r="M74" s="226"/>
      <c r="N74" s="226"/>
      <c r="O74" s="226"/>
      <c r="P74" s="278"/>
      <c r="Q74" s="279"/>
      <c r="R74" s="280"/>
    </row>
    <row r="75" spans="1:18" ht="18" customHeight="1" thickBot="1" x14ac:dyDescent="0.25">
      <c r="A75" s="319"/>
      <c r="B75" s="292"/>
      <c r="C75" s="318"/>
      <c r="D75" s="258"/>
      <c r="E75" s="258"/>
      <c r="F75" s="258"/>
      <c r="G75" s="258"/>
      <c r="H75" s="258"/>
      <c r="I75" s="258"/>
      <c r="J75" s="258"/>
      <c r="K75" s="258"/>
      <c r="L75" s="258"/>
      <c r="M75" s="258"/>
      <c r="N75" s="258"/>
      <c r="O75" s="258"/>
      <c r="P75" s="294"/>
      <c r="Q75" s="295"/>
      <c r="R75" s="296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30" t="str">
        <f>A31</f>
        <v xml:space="preserve">Jakarta, </v>
      </c>
      <c r="B78" s="231"/>
      <c r="C78" s="32"/>
      <c r="D78" s="232" t="s">
        <v>35</v>
      </c>
      <c r="E78" s="232"/>
      <c r="F78" s="232"/>
      <c r="G78" s="232"/>
      <c r="H78" s="232"/>
      <c r="I78" s="232" t="s">
        <v>57</v>
      </c>
      <c r="J78" s="232"/>
      <c r="K78" s="232"/>
      <c r="L78" s="232"/>
      <c r="M78" s="232"/>
      <c r="N78" s="233" t="s">
        <v>259</v>
      </c>
      <c r="O78" s="233"/>
      <c r="P78" s="233"/>
      <c r="Q78" s="233"/>
      <c r="R78" s="234"/>
    </row>
    <row r="79" spans="1:18" ht="30" customHeight="1" thickBot="1" x14ac:dyDescent="0.25">
      <c r="A79" s="33"/>
      <c r="B79" s="34"/>
      <c r="C79" s="34"/>
      <c r="D79" s="288" t="s">
        <v>40</v>
      </c>
      <c r="E79" s="288"/>
      <c r="F79" s="288"/>
      <c r="G79" s="288"/>
      <c r="H79" s="288"/>
      <c r="I79" s="289" t="str">
        <f>D191</f>
        <v>Emmas Warina Serli  G., SE, MM</v>
      </c>
      <c r="J79" s="289"/>
      <c r="K79" s="289"/>
      <c r="L79" s="289"/>
      <c r="M79" s="289"/>
      <c r="N79" s="290" t="str">
        <f>N32</f>
        <v>Agustinus Siahaan, S.Si.</v>
      </c>
      <c r="O79" s="290"/>
      <c r="P79" s="290"/>
      <c r="Q79" s="290"/>
      <c r="R79" s="291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5" t="s">
        <v>258</v>
      </c>
      <c r="B81" s="95"/>
      <c r="C81" s="95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224" t="s">
        <v>179</v>
      </c>
      <c r="Q81" s="224"/>
      <c r="R81" s="224"/>
    </row>
    <row r="82" spans="1:23" s="5" customFormat="1" x14ac:dyDescent="0.2"/>
    <row r="85" spans="1:23" hidden="1" x14ac:dyDescent="0.2">
      <c r="A85" s="54" t="s">
        <v>58</v>
      </c>
      <c r="B85" s="54"/>
    </row>
    <row r="86" spans="1:23" hidden="1" x14ac:dyDescent="0.2">
      <c r="A86" s="7" t="s">
        <v>59</v>
      </c>
      <c r="B86" s="7" t="s">
        <v>39</v>
      </c>
      <c r="V86" s="293" t="s">
        <v>7</v>
      </c>
      <c r="W86" s="293"/>
    </row>
    <row r="87" spans="1:23" hidden="1" x14ac:dyDescent="0.2">
      <c r="A87" s="7">
        <v>0</v>
      </c>
      <c r="B87" s="55" t="s">
        <v>222</v>
      </c>
      <c r="V87" s="7" t="s">
        <v>6</v>
      </c>
      <c r="W87" s="7" t="s">
        <v>59</v>
      </c>
    </row>
    <row r="88" spans="1:23" hidden="1" x14ac:dyDescent="0.2">
      <c r="A88" s="7">
        <v>1</v>
      </c>
      <c r="B88" s="55" t="s">
        <v>182</v>
      </c>
      <c r="V88" s="7" t="str">
        <f>Academic!D37</f>
        <v>Religion</v>
      </c>
      <c r="W88" s="7">
        <f>Academic!E37</f>
        <v>0</v>
      </c>
    </row>
    <row r="89" spans="1:23" hidden="1" x14ac:dyDescent="0.2">
      <c r="A89" s="7">
        <v>2</v>
      </c>
      <c r="B89" s="55" t="s">
        <v>183</v>
      </c>
      <c r="V89" s="7" t="str">
        <f>Academic!D38</f>
        <v>PKN</v>
      </c>
      <c r="W89" s="7">
        <f>Academic!E38</f>
        <v>0</v>
      </c>
    </row>
    <row r="90" spans="1:23" hidden="1" x14ac:dyDescent="0.2">
      <c r="A90" s="7">
        <v>3</v>
      </c>
      <c r="B90" s="55" t="s">
        <v>184</v>
      </c>
      <c r="V90" s="7" t="str">
        <f>Academic!D39</f>
        <v>Indonesian</v>
      </c>
      <c r="W90" s="7">
        <f>Academic!E39</f>
        <v>0</v>
      </c>
    </row>
    <row r="91" spans="1:23" hidden="1" x14ac:dyDescent="0.2">
      <c r="A91" s="7">
        <v>4</v>
      </c>
      <c r="B91" s="55" t="s">
        <v>185</v>
      </c>
      <c r="V91" s="7" t="str">
        <f>Academic!D40</f>
        <v>English</v>
      </c>
      <c r="W91" s="7">
        <f>Academic!E40</f>
        <v>0</v>
      </c>
    </row>
    <row r="92" spans="1:23" hidden="1" x14ac:dyDescent="0.2">
      <c r="A92" s="7">
        <v>5</v>
      </c>
      <c r="B92" s="55" t="s">
        <v>186</v>
      </c>
      <c r="V92" s="7" t="str">
        <f>Academic!D41</f>
        <v>Math</v>
      </c>
      <c r="W92" s="7">
        <f>Academic!E41</f>
        <v>0</v>
      </c>
    </row>
    <row r="93" spans="1:23" hidden="1" x14ac:dyDescent="0.2">
      <c r="A93" s="7">
        <v>6</v>
      </c>
      <c r="B93" s="55" t="s">
        <v>187</v>
      </c>
      <c r="V93" s="7" t="str">
        <f>Academic!D42</f>
        <v>Physics</v>
      </c>
      <c r="W93" s="7">
        <f>Academic!E42</f>
        <v>0</v>
      </c>
    </row>
    <row r="94" spans="1:23" hidden="1" x14ac:dyDescent="0.2">
      <c r="A94" s="7">
        <v>7</v>
      </c>
      <c r="B94" s="55" t="s">
        <v>188</v>
      </c>
      <c r="V94" s="7" t="str">
        <f>Academic!D43</f>
        <v>Biology</v>
      </c>
      <c r="W94" s="7">
        <f>Academic!E43</f>
        <v>0</v>
      </c>
    </row>
    <row r="95" spans="1:23" hidden="1" x14ac:dyDescent="0.2">
      <c r="A95" s="7">
        <v>8</v>
      </c>
      <c r="B95" s="55" t="s">
        <v>189</v>
      </c>
      <c r="V95" s="7" t="str">
        <f>Academic!D44</f>
        <v>Chemistry</v>
      </c>
      <c r="W95" s="7">
        <f>Academic!E44</f>
        <v>0</v>
      </c>
    </row>
    <row r="96" spans="1:23" hidden="1" x14ac:dyDescent="0.2">
      <c r="A96" s="7">
        <v>9</v>
      </c>
      <c r="B96" s="55" t="s">
        <v>190</v>
      </c>
      <c r="V96" s="7" t="str">
        <f>Academic!D45</f>
        <v>History</v>
      </c>
      <c r="W96" s="7">
        <f>Academic!E45</f>
        <v>0</v>
      </c>
    </row>
    <row r="97" spans="1:23" hidden="1" x14ac:dyDescent="0.2">
      <c r="A97" s="7">
        <v>10</v>
      </c>
      <c r="B97" s="55" t="s">
        <v>191</v>
      </c>
      <c r="V97" s="7" t="str">
        <f>Academic!D46</f>
        <v>Arts</v>
      </c>
      <c r="W97" s="7">
        <f>Academic!E46</f>
        <v>0</v>
      </c>
    </row>
    <row r="98" spans="1:23" hidden="1" x14ac:dyDescent="0.2">
      <c r="A98" s="7">
        <v>11</v>
      </c>
      <c r="B98" s="55" t="s">
        <v>192</v>
      </c>
      <c r="V98" s="7" t="str">
        <f>Academic!D47</f>
        <v>PE</v>
      </c>
      <c r="W98" s="7">
        <f>Academic!E47</f>
        <v>0</v>
      </c>
    </row>
    <row r="99" spans="1:23" hidden="1" x14ac:dyDescent="0.2">
      <c r="A99" s="7">
        <v>12</v>
      </c>
      <c r="B99" s="55" t="s">
        <v>193</v>
      </c>
      <c r="V99" s="7" t="str">
        <f>Academic!D48</f>
        <v>Mandarin</v>
      </c>
      <c r="W99" s="7">
        <f>Academic!E48</f>
        <v>0</v>
      </c>
    </row>
    <row r="100" spans="1:23" hidden="1" x14ac:dyDescent="0.2">
      <c r="A100" s="7">
        <v>13</v>
      </c>
      <c r="B100" s="55" t="s">
        <v>194</v>
      </c>
      <c r="V100" s="7" t="str">
        <f>Academic!D49</f>
        <v>ICT</v>
      </c>
      <c r="W100" s="7">
        <f>Academic!E49</f>
        <v>0</v>
      </c>
    </row>
    <row r="101" spans="1:23" hidden="1" x14ac:dyDescent="0.2">
      <c r="A101" s="7">
        <v>14</v>
      </c>
      <c r="B101" s="55" t="s">
        <v>195</v>
      </c>
      <c r="V101" s="7" t="str">
        <f>Academic!D50</f>
        <v>Writing</v>
      </c>
      <c r="W101" s="7">
        <f>Academic!E50</f>
        <v>0</v>
      </c>
    </row>
    <row r="102" spans="1:23" hidden="1" x14ac:dyDescent="0.2">
      <c r="A102" s="7">
        <v>15</v>
      </c>
      <c r="B102" s="55" t="s">
        <v>196</v>
      </c>
    </row>
    <row r="103" spans="1:23" hidden="1" x14ac:dyDescent="0.2">
      <c r="A103" s="7">
        <v>16</v>
      </c>
      <c r="B103" s="55" t="s">
        <v>197</v>
      </c>
    </row>
    <row r="104" spans="1:23" hidden="1" x14ac:dyDescent="0.2">
      <c r="A104" s="7">
        <v>17</v>
      </c>
      <c r="B104" s="55" t="s">
        <v>198</v>
      </c>
    </row>
    <row r="105" spans="1:23" hidden="1" x14ac:dyDescent="0.2">
      <c r="A105" s="7">
        <v>18</v>
      </c>
      <c r="B105" s="55" t="s">
        <v>199</v>
      </c>
    </row>
    <row r="106" spans="1:23" hidden="1" x14ac:dyDescent="0.2">
      <c r="A106" s="7">
        <v>19</v>
      </c>
      <c r="B106" s="55" t="s">
        <v>200</v>
      </c>
    </row>
    <row r="107" spans="1:23" hidden="1" x14ac:dyDescent="0.2">
      <c r="A107" s="7">
        <v>20</v>
      </c>
      <c r="B107" s="55" t="s">
        <v>201</v>
      </c>
    </row>
    <row r="108" spans="1:23" hidden="1" x14ac:dyDescent="0.2">
      <c r="A108" s="7">
        <v>21</v>
      </c>
      <c r="B108" s="55" t="s">
        <v>202</v>
      </c>
    </row>
    <row r="109" spans="1:23" hidden="1" x14ac:dyDescent="0.2">
      <c r="A109" s="7">
        <v>22</v>
      </c>
      <c r="B109" s="55" t="s">
        <v>203</v>
      </c>
    </row>
    <row r="110" spans="1:23" hidden="1" x14ac:dyDescent="0.2">
      <c r="A110" s="7">
        <v>23</v>
      </c>
      <c r="B110" s="55" t="s">
        <v>204</v>
      </c>
    </row>
    <row r="111" spans="1:23" hidden="1" x14ac:dyDescent="0.2">
      <c r="A111" s="7">
        <v>24</v>
      </c>
      <c r="B111" s="55" t="s">
        <v>205</v>
      </c>
    </row>
    <row r="112" spans="1:23" hidden="1" x14ac:dyDescent="0.2">
      <c r="A112" s="7">
        <v>25</v>
      </c>
      <c r="B112" s="55" t="s">
        <v>206</v>
      </c>
    </row>
    <row r="113" spans="1:2" hidden="1" x14ac:dyDescent="0.2">
      <c r="A113" s="7">
        <v>26</v>
      </c>
      <c r="B113" s="55" t="s">
        <v>207</v>
      </c>
    </row>
    <row r="114" spans="1:2" hidden="1" x14ac:dyDescent="0.2">
      <c r="A114" s="7">
        <v>27</v>
      </c>
      <c r="B114" s="55" t="s">
        <v>208</v>
      </c>
    </row>
    <row r="115" spans="1:2" hidden="1" x14ac:dyDescent="0.2">
      <c r="A115" s="7">
        <v>28</v>
      </c>
      <c r="B115" s="55" t="s">
        <v>209</v>
      </c>
    </row>
    <row r="116" spans="1:2" hidden="1" x14ac:dyDescent="0.2">
      <c r="A116" s="7">
        <v>29</v>
      </c>
      <c r="B116" s="55" t="s">
        <v>210</v>
      </c>
    </row>
    <row r="117" spans="1:2" hidden="1" x14ac:dyDescent="0.2">
      <c r="A117" s="7">
        <v>30</v>
      </c>
      <c r="B117" s="55" t="s">
        <v>211</v>
      </c>
    </row>
    <row r="118" spans="1:2" hidden="1" x14ac:dyDescent="0.2">
      <c r="A118" s="7">
        <v>31</v>
      </c>
      <c r="B118" s="55" t="s">
        <v>212</v>
      </c>
    </row>
    <row r="119" spans="1:2" hidden="1" x14ac:dyDescent="0.2">
      <c r="A119" s="7">
        <v>32</v>
      </c>
      <c r="B119" s="55" t="s">
        <v>213</v>
      </c>
    </row>
    <row r="120" spans="1:2" hidden="1" x14ac:dyDescent="0.2">
      <c r="A120" s="7">
        <v>33</v>
      </c>
      <c r="B120" s="55" t="s">
        <v>214</v>
      </c>
    </row>
    <row r="121" spans="1:2" hidden="1" x14ac:dyDescent="0.2">
      <c r="A121" s="7">
        <v>34</v>
      </c>
      <c r="B121" s="55" t="s">
        <v>215</v>
      </c>
    </row>
    <row r="122" spans="1:2" hidden="1" x14ac:dyDescent="0.2">
      <c r="A122" s="7">
        <v>35</v>
      </c>
      <c r="B122" s="55" t="s">
        <v>216</v>
      </c>
    </row>
    <row r="123" spans="1:2" hidden="1" x14ac:dyDescent="0.2">
      <c r="A123" s="7">
        <v>36</v>
      </c>
      <c r="B123" s="55" t="s">
        <v>217</v>
      </c>
    </row>
    <row r="124" spans="1:2" hidden="1" x14ac:dyDescent="0.2">
      <c r="A124" s="7">
        <v>37</v>
      </c>
      <c r="B124" s="55" t="s">
        <v>218</v>
      </c>
    </row>
    <row r="125" spans="1:2" hidden="1" x14ac:dyDescent="0.2">
      <c r="A125" s="7">
        <v>38</v>
      </c>
      <c r="B125" s="55" t="s">
        <v>219</v>
      </c>
    </row>
    <row r="126" spans="1:2" hidden="1" x14ac:dyDescent="0.2">
      <c r="A126" s="7">
        <v>39</v>
      </c>
      <c r="B126" s="55" t="s">
        <v>220</v>
      </c>
    </row>
    <row r="127" spans="1:2" hidden="1" x14ac:dyDescent="0.2">
      <c r="A127" s="7">
        <v>40</v>
      </c>
      <c r="B127" s="55" t="s">
        <v>221</v>
      </c>
    </row>
    <row r="128" spans="1:2" hidden="1" x14ac:dyDescent="0.2">
      <c r="A128" s="7">
        <v>41</v>
      </c>
      <c r="B128" s="55" t="s">
        <v>61</v>
      </c>
    </row>
    <row r="129" spans="1:2" hidden="1" x14ac:dyDescent="0.2">
      <c r="A129" s="7">
        <v>42</v>
      </c>
      <c r="B129" s="55" t="s">
        <v>62</v>
      </c>
    </row>
    <row r="130" spans="1:2" hidden="1" x14ac:dyDescent="0.2">
      <c r="A130" s="7">
        <v>43</v>
      </c>
      <c r="B130" s="55" t="s">
        <v>63</v>
      </c>
    </row>
    <row r="131" spans="1:2" hidden="1" x14ac:dyDescent="0.2">
      <c r="A131" s="7">
        <v>44</v>
      </c>
      <c r="B131" s="55" t="s">
        <v>64</v>
      </c>
    </row>
    <row r="132" spans="1:2" hidden="1" x14ac:dyDescent="0.2">
      <c r="A132" s="7">
        <v>45</v>
      </c>
      <c r="B132" s="55" t="s">
        <v>65</v>
      </c>
    </row>
    <row r="133" spans="1:2" hidden="1" x14ac:dyDescent="0.2">
      <c r="A133" s="7">
        <v>46</v>
      </c>
      <c r="B133" s="55" t="s">
        <v>66</v>
      </c>
    </row>
    <row r="134" spans="1:2" hidden="1" x14ac:dyDescent="0.2">
      <c r="A134" s="7">
        <v>47</v>
      </c>
      <c r="B134" s="55" t="s">
        <v>67</v>
      </c>
    </row>
    <row r="135" spans="1:2" hidden="1" x14ac:dyDescent="0.2">
      <c r="A135" s="7">
        <v>48</v>
      </c>
      <c r="B135" s="55" t="s">
        <v>68</v>
      </c>
    </row>
    <row r="136" spans="1:2" hidden="1" x14ac:dyDescent="0.2">
      <c r="A136" s="7">
        <v>49</v>
      </c>
      <c r="B136" s="55" t="s">
        <v>69</v>
      </c>
    </row>
    <row r="137" spans="1:2" hidden="1" x14ac:dyDescent="0.2">
      <c r="A137" s="7">
        <v>50</v>
      </c>
      <c r="B137" s="55" t="s">
        <v>60</v>
      </c>
    </row>
    <row r="138" spans="1:2" hidden="1" x14ac:dyDescent="0.2">
      <c r="A138" s="7">
        <v>51</v>
      </c>
      <c r="B138" s="55" t="s">
        <v>70</v>
      </c>
    </row>
    <row r="139" spans="1:2" hidden="1" x14ac:dyDescent="0.2">
      <c r="A139" s="7">
        <v>52</v>
      </c>
      <c r="B139" s="55" t="s">
        <v>71</v>
      </c>
    </row>
    <row r="140" spans="1:2" hidden="1" x14ac:dyDescent="0.2">
      <c r="A140" s="7">
        <v>53</v>
      </c>
      <c r="B140" s="55" t="s">
        <v>72</v>
      </c>
    </row>
    <row r="141" spans="1:2" hidden="1" x14ac:dyDescent="0.2">
      <c r="A141" s="7">
        <v>54</v>
      </c>
      <c r="B141" s="55" t="s">
        <v>73</v>
      </c>
    </row>
    <row r="142" spans="1:2" hidden="1" x14ac:dyDescent="0.2">
      <c r="A142" s="7">
        <v>55</v>
      </c>
      <c r="B142" s="55" t="s">
        <v>74</v>
      </c>
    </row>
    <row r="143" spans="1:2" hidden="1" x14ac:dyDescent="0.2">
      <c r="A143" s="7">
        <v>56</v>
      </c>
      <c r="B143" s="55" t="s">
        <v>75</v>
      </c>
    </row>
    <row r="144" spans="1:2" hidden="1" x14ac:dyDescent="0.2">
      <c r="A144" s="7">
        <v>57</v>
      </c>
      <c r="B144" s="55" t="s">
        <v>76</v>
      </c>
    </row>
    <row r="145" spans="1:2" hidden="1" x14ac:dyDescent="0.2">
      <c r="A145" s="7">
        <v>58</v>
      </c>
      <c r="B145" s="55" t="s">
        <v>77</v>
      </c>
    </row>
    <row r="146" spans="1:2" hidden="1" x14ac:dyDescent="0.2">
      <c r="A146" s="7">
        <v>59</v>
      </c>
      <c r="B146" s="55" t="s">
        <v>78</v>
      </c>
    </row>
    <row r="147" spans="1:2" hidden="1" x14ac:dyDescent="0.2">
      <c r="A147" s="7">
        <v>60</v>
      </c>
      <c r="B147" s="55" t="s">
        <v>79</v>
      </c>
    </row>
    <row r="148" spans="1:2" hidden="1" x14ac:dyDescent="0.2">
      <c r="A148" s="7">
        <v>61</v>
      </c>
      <c r="B148" s="55" t="s">
        <v>80</v>
      </c>
    </row>
    <row r="149" spans="1:2" hidden="1" x14ac:dyDescent="0.2">
      <c r="A149" s="7">
        <v>62</v>
      </c>
      <c r="B149" s="55" t="s">
        <v>81</v>
      </c>
    </row>
    <row r="150" spans="1:2" hidden="1" x14ac:dyDescent="0.2">
      <c r="A150" s="7">
        <v>63</v>
      </c>
      <c r="B150" s="55" t="s">
        <v>82</v>
      </c>
    </row>
    <row r="151" spans="1:2" hidden="1" x14ac:dyDescent="0.2">
      <c r="A151" s="7">
        <v>64</v>
      </c>
      <c r="B151" s="55" t="s">
        <v>83</v>
      </c>
    </row>
    <row r="152" spans="1:2" hidden="1" x14ac:dyDescent="0.2">
      <c r="A152" s="7">
        <v>65</v>
      </c>
      <c r="B152" s="55" t="s">
        <v>84</v>
      </c>
    </row>
    <row r="153" spans="1:2" hidden="1" x14ac:dyDescent="0.2">
      <c r="A153" s="7">
        <v>66</v>
      </c>
      <c r="B153" s="55" t="s">
        <v>85</v>
      </c>
    </row>
    <row r="154" spans="1:2" hidden="1" x14ac:dyDescent="0.2">
      <c r="A154" s="7">
        <v>67</v>
      </c>
      <c r="B154" s="55" t="s">
        <v>86</v>
      </c>
    </row>
    <row r="155" spans="1:2" hidden="1" x14ac:dyDescent="0.2">
      <c r="A155" s="7">
        <v>68</v>
      </c>
      <c r="B155" s="55" t="s">
        <v>87</v>
      </c>
    </row>
    <row r="156" spans="1:2" hidden="1" x14ac:dyDescent="0.2">
      <c r="A156" s="7">
        <v>69</v>
      </c>
      <c r="B156" s="55" t="s">
        <v>88</v>
      </c>
    </row>
    <row r="157" spans="1:2" hidden="1" x14ac:dyDescent="0.2">
      <c r="A157" s="7">
        <v>70</v>
      </c>
      <c r="B157" s="55" t="s">
        <v>89</v>
      </c>
    </row>
    <row r="158" spans="1:2" hidden="1" x14ac:dyDescent="0.2">
      <c r="A158" s="7">
        <v>71</v>
      </c>
      <c r="B158" s="55" t="s">
        <v>90</v>
      </c>
    </row>
    <row r="159" spans="1:2" hidden="1" x14ac:dyDescent="0.2">
      <c r="A159" s="7">
        <v>72</v>
      </c>
      <c r="B159" s="55" t="s">
        <v>91</v>
      </c>
    </row>
    <row r="160" spans="1:2" hidden="1" x14ac:dyDescent="0.2">
      <c r="A160" s="7">
        <v>73</v>
      </c>
      <c r="B160" s="55" t="s">
        <v>92</v>
      </c>
    </row>
    <row r="161" spans="1:2" hidden="1" x14ac:dyDescent="0.2">
      <c r="A161" s="7">
        <v>74</v>
      </c>
      <c r="B161" s="55" t="s">
        <v>93</v>
      </c>
    </row>
    <row r="162" spans="1:2" hidden="1" x14ac:dyDescent="0.2">
      <c r="A162" s="7">
        <v>75</v>
      </c>
      <c r="B162" s="55" t="s">
        <v>94</v>
      </c>
    </row>
    <row r="163" spans="1:2" hidden="1" x14ac:dyDescent="0.2">
      <c r="A163" s="7">
        <v>76</v>
      </c>
      <c r="B163" s="55" t="s">
        <v>95</v>
      </c>
    </row>
    <row r="164" spans="1:2" hidden="1" x14ac:dyDescent="0.2">
      <c r="A164" s="7">
        <v>77</v>
      </c>
      <c r="B164" s="55" t="s">
        <v>96</v>
      </c>
    </row>
    <row r="165" spans="1:2" hidden="1" x14ac:dyDescent="0.2">
      <c r="A165" s="7">
        <v>78</v>
      </c>
      <c r="B165" s="55" t="s">
        <v>97</v>
      </c>
    </row>
    <row r="166" spans="1:2" hidden="1" x14ac:dyDescent="0.2">
      <c r="A166" s="7">
        <v>79</v>
      </c>
      <c r="B166" s="55" t="s">
        <v>98</v>
      </c>
    </row>
    <row r="167" spans="1:2" hidden="1" x14ac:dyDescent="0.2">
      <c r="A167" s="7">
        <v>80</v>
      </c>
      <c r="B167" s="55" t="s">
        <v>99</v>
      </c>
    </row>
    <row r="168" spans="1:2" hidden="1" x14ac:dyDescent="0.2">
      <c r="A168" s="7">
        <v>81</v>
      </c>
      <c r="B168" s="55" t="s">
        <v>100</v>
      </c>
    </row>
    <row r="169" spans="1:2" hidden="1" x14ac:dyDescent="0.2">
      <c r="A169" s="7">
        <v>82</v>
      </c>
      <c r="B169" s="55" t="s">
        <v>101</v>
      </c>
    </row>
    <row r="170" spans="1:2" hidden="1" x14ac:dyDescent="0.2">
      <c r="A170" s="7">
        <v>83</v>
      </c>
      <c r="B170" s="55" t="s">
        <v>102</v>
      </c>
    </row>
    <row r="171" spans="1:2" hidden="1" x14ac:dyDescent="0.2">
      <c r="A171" s="7">
        <v>84</v>
      </c>
      <c r="B171" s="55" t="s">
        <v>103</v>
      </c>
    </row>
    <row r="172" spans="1:2" hidden="1" x14ac:dyDescent="0.2">
      <c r="A172" s="7">
        <v>85</v>
      </c>
      <c r="B172" s="55" t="s">
        <v>104</v>
      </c>
    </row>
    <row r="173" spans="1:2" hidden="1" x14ac:dyDescent="0.2">
      <c r="A173" s="7">
        <v>86</v>
      </c>
      <c r="B173" s="55" t="s">
        <v>105</v>
      </c>
    </row>
    <row r="174" spans="1:2" hidden="1" x14ac:dyDescent="0.2">
      <c r="A174" s="7">
        <v>87</v>
      </c>
      <c r="B174" s="55" t="s">
        <v>106</v>
      </c>
    </row>
    <row r="175" spans="1:2" hidden="1" x14ac:dyDescent="0.2">
      <c r="A175" s="7">
        <v>88</v>
      </c>
      <c r="B175" s="55" t="s">
        <v>107</v>
      </c>
    </row>
    <row r="176" spans="1:2" hidden="1" x14ac:dyDescent="0.2">
      <c r="A176" s="7">
        <v>89</v>
      </c>
      <c r="B176" s="55" t="s">
        <v>108</v>
      </c>
    </row>
    <row r="177" spans="1:31" hidden="1" x14ac:dyDescent="0.2">
      <c r="A177" s="7">
        <v>90</v>
      </c>
      <c r="B177" s="55" t="s">
        <v>109</v>
      </c>
    </row>
    <row r="178" spans="1:31" hidden="1" x14ac:dyDescent="0.2">
      <c r="A178" s="7">
        <v>91</v>
      </c>
      <c r="B178" s="55" t="s">
        <v>110</v>
      </c>
    </row>
    <row r="179" spans="1:31" hidden="1" x14ac:dyDescent="0.2">
      <c r="A179" s="7">
        <v>92</v>
      </c>
      <c r="B179" s="55" t="s">
        <v>111</v>
      </c>
    </row>
    <row r="180" spans="1:31" hidden="1" x14ac:dyDescent="0.2">
      <c r="A180" s="7">
        <v>93</v>
      </c>
      <c r="B180" s="55" t="s">
        <v>112</v>
      </c>
    </row>
    <row r="181" spans="1:31" hidden="1" x14ac:dyDescent="0.2">
      <c r="A181" s="7">
        <v>94</v>
      </c>
      <c r="B181" s="55" t="s">
        <v>113</v>
      </c>
    </row>
    <row r="182" spans="1:31" hidden="1" x14ac:dyDescent="0.2">
      <c r="A182" s="7">
        <v>95</v>
      </c>
      <c r="B182" s="55" t="s">
        <v>114</v>
      </c>
    </row>
    <row r="183" spans="1:31" hidden="1" x14ac:dyDescent="0.2">
      <c r="A183" s="7">
        <v>96</v>
      </c>
      <c r="B183" s="55" t="s">
        <v>115</v>
      </c>
    </row>
    <row r="184" spans="1:31" hidden="1" x14ac:dyDescent="0.2">
      <c r="A184" s="7">
        <v>97</v>
      </c>
      <c r="B184" s="55" t="s">
        <v>116</v>
      </c>
    </row>
    <row r="185" spans="1:31" hidden="1" x14ac:dyDescent="0.2">
      <c r="A185" s="7">
        <v>98</v>
      </c>
      <c r="B185" s="55" t="s">
        <v>117</v>
      </c>
    </row>
    <row r="186" spans="1:31" hidden="1" x14ac:dyDescent="0.2">
      <c r="A186" s="7">
        <v>99</v>
      </c>
      <c r="B186" s="55" t="s">
        <v>118</v>
      </c>
    </row>
    <row r="187" spans="1:31" hidden="1" x14ac:dyDescent="0.2">
      <c r="A187" s="7">
        <v>100</v>
      </c>
      <c r="B187" s="55" t="s">
        <v>119</v>
      </c>
    </row>
    <row r="189" spans="1:31" hidden="1" x14ac:dyDescent="0.2"/>
    <row r="190" spans="1:31" s="61" customFormat="1" ht="20.100000000000001" hidden="1" customHeight="1" x14ac:dyDescent="0.2">
      <c r="A190" s="56" t="s">
        <v>175</v>
      </c>
      <c r="B190" s="57"/>
      <c r="C190" s="58" t="s">
        <v>1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128</v>
      </c>
      <c r="B191" s="50"/>
      <c r="C191" s="63" t="s">
        <v>1</v>
      </c>
      <c r="D191" s="64" t="str">
        <f>Cover!D18</f>
        <v>Emmas Warina Serli  G., SE, MM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129</v>
      </c>
      <c r="B192" s="67"/>
      <c r="C192" s="68" t="s">
        <v>1</v>
      </c>
      <c r="D192" s="69" t="str">
        <f>Cover!K18</f>
        <v>12 Science 2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2" hidden="1" x14ac:dyDescent="0.2"/>
    <row r="194" spans="1:32" ht="27.75" hidden="1" x14ac:dyDescent="0.4">
      <c r="A194" s="71" t="s">
        <v>120</v>
      </c>
    </row>
    <row r="195" spans="1:32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</row>
    <row r="196" spans="1:32" hidden="1" x14ac:dyDescent="0.2">
      <c r="A196" s="316" t="s">
        <v>5</v>
      </c>
      <c r="B196" s="316" t="s">
        <v>0</v>
      </c>
      <c r="C196" s="316" t="s">
        <v>130</v>
      </c>
      <c r="D196" s="287" t="s">
        <v>6</v>
      </c>
      <c r="E196" s="287"/>
      <c r="F196" s="287"/>
      <c r="G196" s="287"/>
      <c r="H196" s="287"/>
      <c r="I196" s="287"/>
      <c r="J196" s="287"/>
      <c r="K196" s="287"/>
      <c r="L196" s="287"/>
      <c r="M196" s="287"/>
      <c r="N196" s="287"/>
      <c r="O196" s="287"/>
      <c r="P196" s="287"/>
      <c r="Q196" s="287" t="s">
        <v>124</v>
      </c>
      <c r="R196" s="287"/>
      <c r="S196" s="287"/>
      <c r="T196" s="287" t="s">
        <v>126</v>
      </c>
      <c r="U196" s="287"/>
      <c r="V196" s="287" t="s">
        <v>127</v>
      </c>
      <c r="W196" s="287"/>
      <c r="X196" s="287" t="s">
        <v>135</v>
      </c>
      <c r="Y196" s="287"/>
      <c r="Z196" s="287"/>
      <c r="AA196" s="287"/>
      <c r="AB196" s="287"/>
      <c r="AC196" s="287"/>
      <c r="AD196" s="287"/>
      <c r="AE196" s="287"/>
      <c r="AF196" s="79" t="s">
        <v>6</v>
      </c>
    </row>
    <row r="197" spans="1:32" hidden="1" x14ac:dyDescent="0.2">
      <c r="A197" s="316"/>
      <c r="B197" s="316"/>
      <c r="C197" s="316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121</v>
      </c>
      <c r="R197" s="72" t="s">
        <v>122</v>
      </c>
      <c r="S197" s="72" t="s">
        <v>123</v>
      </c>
      <c r="T197" s="72" t="s">
        <v>125</v>
      </c>
      <c r="U197" s="72" t="s">
        <v>59</v>
      </c>
      <c r="V197" s="72" t="s">
        <v>125</v>
      </c>
      <c r="W197" s="72" t="s">
        <v>59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</row>
    <row r="198" spans="1:32" hidden="1" x14ac:dyDescent="0.2">
      <c r="A198" s="7">
        <v>1</v>
      </c>
      <c r="B198" s="3" t="str">
        <f>Academic!C8</f>
        <v>ADRIAN REYNARD SUTANTO</v>
      </c>
      <c r="C198" s="73">
        <f>Academic!B8</f>
        <v>0</v>
      </c>
      <c r="D198" s="7">
        <f>Academic!D8</f>
        <v>0</v>
      </c>
      <c r="E198" s="116">
        <f>Academic!E8</f>
        <v>0</v>
      </c>
      <c r="F198" s="116">
        <f>Academic!F8</f>
        <v>0</v>
      </c>
      <c r="G198" s="116">
        <f>Academic!G8</f>
        <v>0</v>
      </c>
      <c r="H198" s="116">
        <f>Academic!H8</f>
        <v>0</v>
      </c>
      <c r="I198" s="116">
        <f>Academic!I8</f>
        <v>0</v>
      </c>
      <c r="J198" s="116">
        <f>Academic!J8</f>
        <v>0</v>
      </c>
      <c r="K198" s="116">
        <f>Academic!K8</f>
        <v>0</v>
      </c>
      <c r="L198" s="116">
        <f>Academic!L8</f>
        <v>0</v>
      </c>
      <c r="M198" s="116">
        <f>Academic!M8</f>
        <v>0</v>
      </c>
      <c r="N198" s="116">
        <f>Academic!N8</f>
        <v>0</v>
      </c>
      <c r="O198" s="116">
        <f>Academic!O8</f>
        <v>0</v>
      </c>
      <c r="P198" s="116">
        <f>Academic!P8</f>
        <v>0</v>
      </c>
      <c r="Q198" s="7" t="str">
        <f>IF(Others!H8=0,"-",Others!H8)</f>
        <v>-</v>
      </c>
      <c r="R198" s="106" t="str">
        <f>IF(Others!I8=0,"-",Others!I8)</f>
        <v>-</v>
      </c>
      <c r="S198" s="106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E</v>
      </c>
      <c r="Y198" s="4" t="str">
        <f>Character!O8</f>
        <v>E</v>
      </c>
      <c r="Z198" s="4" t="str">
        <f>Character!P8</f>
        <v>E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Academic!Q8</f>
        <v>0</v>
      </c>
    </row>
    <row r="199" spans="1:32" hidden="1" x14ac:dyDescent="0.2">
      <c r="A199" s="7">
        <v>2</v>
      </c>
      <c r="B199" s="3" t="str">
        <f>Academic!C9</f>
        <v>ALVYN</v>
      </c>
      <c r="C199" s="73">
        <f>Academic!B9</f>
        <v>0</v>
      </c>
      <c r="D199" s="116">
        <f>Academic!D9</f>
        <v>0</v>
      </c>
      <c r="E199" s="116">
        <f>Academic!E9</f>
        <v>0</v>
      </c>
      <c r="F199" s="116">
        <f>Academic!F9</f>
        <v>0</v>
      </c>
      <c r="G199" s="116">
        <f>Academic!G9</f>
        <v>0</v>
      </c>
      <c r="H199" s="116">
        <f>Academic!H9</f>
        <v>0</v>
      </c>
      <c r="I199" s="116">
        <f>Academic!I9</f>
        <v>0</v>
      </c>
      <c r="J199" s="116">
        <f>Academic!J9</f>
        <v>0</v>
      </c>
      <c r="K199" s="116">
        <f>Academic!K9</f>
        <v>0</v>
      </c>
      <c r="L199" s="116">
        <f>Academic!L9</f>
        <v>0</v>
      </c>
      <c r="M199" s="116">
        <f>Academic!M9</f>
        <v>0</v>
      </c>
      <c r="N199" s="116">
        <f>Academic!N9</f>
        <v>0</v>
      </c>
      <c r="O199" s="116">
        <f>Academic!O9</f>
        <v>0</v>
      </c>
      <c r="P199" s="116">
        <f>Academic!P9</f>
        <v>0</v>
      </c>
      <c r="Q199" s="116" t="str">
        <f>IF(Others!H9=0,"-",Others!H9)</f>
        <v>-</v>
      </c>
      <c r="R199" s="116" t="str">
        <f>IF(Others!I9=0,"-",Others!I9)</f>
        <v>-</v>
      </c>
      <c r="S199" s="116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116">
        <f>Academic!Q9</f>
        <v>0</v>
      </c>
    </row>
    <row r="200" spans="1:32" hidden="1" x14ac:dyDescent="0.2">
      <c r="A200" s="7">
        <v>3</v>
      </c>
      <c r="B200" s="3" t="str">
        <f>Academic!C10</f>
        <v>ANDREW IVAN SOEGENG</v>
      </c>
      <c r="C200" s="73">
        <f>Academic!B10</f>
        <v>0</v>
      </c>
      <c r="D200" s="116">
        <f>Academic!D10</f>
        <v>0</v>
      </c>
      <c r="E200" s="116">
        <f>Academic!E10</f>
        <v>0</v>
      </c>
      <c r="F200" s="116">
        <f>Academic!F10</f>
        <v>0</v>
      </c>
      <c r="G200" s="116">
        <f>Academic!G10</f>
        <v>0</v>
      </c>
      <c r="H200" s="116">
        <f>Academic!H10</f>
        <v>0</v>
      </c>
      <c r="I200" s="116">
        <f>Academic!I10</f>
        <v>0</v>
      </c>
      <c r="J200" s="116">
        <f>Academic!J10</f>
        <v>0</v>
      </c>
      <c r="K200" s="116">
        <f>Academic!K10</f>
        <v>0</v>
      </c>
      <c r="L200" s="116">
        <f>Academic!L10</f>
        <v>0</v>
      </c>
      <c r="M200" s="116">
        <f>Academic!M10</f>
        <v>0</v>
      </c>
      <c r="N200" s="116">
        <f>Academic!N10</f>
        <v>0</v>
      </c>
      <c r="O200" s="116">
        <f>Academic!O10</f>
        <v>0</v>
      </c>
      <c r="P200" s="116">
        <f>Academic!P10</f>
        <v>0</v>
      </c>
      <c r="Q200" s="116" t="str">
        <f>IF(Others!H10=0,"-",Others!H10)</f>
        <v>-</v>
      </c>
      <c r="R200" s="116" t="str">
        <f>IF(Others!I10=0,"-",Others!I10)</f>
        <v>-</v>
      </c>
      <c r="S200" s="116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116">
        <f>Academic!Q10</f>
        <v>0</v>
      </c>
    </row>
    <row r="201" spans="1:32" hidden="1" x14ac:dyDescent="0.2">
      <c r="A201" s="7">
        <v>4</v>
      </c>
      <c r="B201" s="3" t="str">
        <f>Academic!C11</f>
        <v>ARSENIUS DAVIN</v>
      </c>
      <c r="C201" s="73">
        <f>Academic!B11</f>
        <v>0</v>
      </c>
      <c r="D201" s="116">
        <f>Academic!D11</f>
        <v>0</v>
      </c>
      <c r="E201" s="116">
        <f>Academic!E11</f>
        <v>0</v>
      </c>
      <c r="F201" s="116">
        <f>Academic!F11</f>
        <v>0</v>
      </c>
      <c r="G201" s="116">
        <f>Academic!G11</f>
        <v>0</v>
      </c>
      <c r="H201" s="116">
        <f>Academic!H11</f>
        <v>0</v>
      </c>
      <c r="I201" s="116">
        <f>Academic!I11</f>
        <v>0</v>
      </c>
      <c r="J201" s="116">
        <f>Academic!J11</f>
        <v>0</v>
      </c>
      <c r="K201" s="116">
        <f>Academic!K11</f>
        <v>0</v>
      </c>
      <c r="L201" s="116">
        <f>Academic!L11</f>
        <v>0</v>
      </c>
      <c r="M201" s="116">
        <f>Academic!M11</f>
        <v>0</v>
      </c>
      <c r="N201" s="116">
        <f>Academic!N11</f>
        <v>0</v>
      </c>
      <c r="O201" s="116">
        <f>Academic!O11</f>
        <v>0</v>
      </c>
      <c r="P201" s="116">
        <f>Academic!P11</f>
        <v>0</v>
      </c>
      <c r="Q201" s="116" t="str">
        <f>IF(Others!H11=0,"-",Others!H11)</f>
        <v>-</v>
      </c>
      <c r="R201" s="116" t="str">
        <f>IF(Others!I11=0,"-",Others!I11)</f>
        <v>-</v>
      </c>
      <c r="S201" s="116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116">
        <f>Academic!Q11</f>
        <v>0</v>
      </c>
    </row>
    <row r="202" spans="1:32" hidden="1" x14ac:dyDescent="0.2">
      <c r="A202" s="7">
        <v>5</v>
      </c>
      <c r="B202" s="3" t="str">
        <f>Academic!C12</f>
        <v>BENEDICTUS LEONARDUS TAMIN</v>
      </c>
      <c r="C202" s="73">
        <f>Academic!B12</f>
        <v>0</v>
      </c>
      <c r="D202" s="116">
        <f>Academic!D12</f>
        <v>0</v>
      </c>
      <c r="E202" s="116">
        <f>Academic!E12</f>
        <v>0</v>
      </c>
      <c r="F202" s="116">
        <f>Academic!F12</f>
        <v>0</v>
      </c>
      <c r="G202" s="116">
        <f>Academic!G12</f>
        <v>0</v>
      </c>
      <c r="H202" s="116">
        <f>Academic!H12</f>
        <v>0</v>
      </c>
      <c r="I202" s="116">
        <f>Academic!I12</f>
        <v>0</v>
      </c>
      <c r="J202" s="116">
        <f>Academic!J12</f>
        <v>0</v>
      </c>
      <c r="K202" s="116">
        <f>Academic!K12</f>
        <v>0</v>
      </c>
      <c r="L202" s="116">
        <f>Academic!L12</f>
        <v>0</v>
      </c>
      <c r="M202" s="116">
        <f>Academic!M12</f>
        <v>0</v>
      </c>
      <c r="N202" s="116">
        <f>Academic!N12</f>
        <v>0</v>
      </c>
      <c r="O202" s="116">
        <f>Academic!O12</f>
        <v>0</v>
      </c>
      <c r="P202" s="116">
        <f>Academic!P12</f>
        <v>0</v>
      </c>
      <c r="Q202" s="116" t="str">
        <f>IF(Others!H12=0,"-",Others!H12)</f>
        <v>-</v>
      </c>
      <c r="R202" s="116" t="str">
        <f>IF(Others!I12=0,"-",Others!I12)</f>
        <v>-</v>
      </c>
      <c r="S202" s="116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116">
        <f>Academic!Q12</f>
        <v>0</v>
      </c>
    </row>
    <row r="203" spans="1:32" hidden="1" x14ac:dyDescent="0.2">
      <c r="A203" s="7">
        <v>6</v>
      </c>
      <c r="B203" s="3" t="str">
        <f>Academic!C13</f>
        <v>BRAZALI WIRANATA</v>
      </c>
      <c r="C203" s="73">
        <f>Academic!B13</f>
        <v>0</v>
      </c>
      <c r="D203" s="116">
        <f>Academic!D13</f>
        <v>0</v>
      </c>
      <c r="E203" s="116">
        <f>Academic!E13</f>
        <v>0</v>
      </c>
      <c r="F203" s="116">
        <f>Academic!F13</f>
        <v>0</v>
      </c>
      <c r="G203" s="116">
        <f>Academic!G13</f>
        <v>0</v>
      </c>
      <c r="H203" s="116">
        <f>Academic!H13</f>
        <v>0</v>
      </c>
      <c r="I203" s="116">
        <f>Academic!I13</f>
        <v>0</v>
      </c>
      <c r="J203" s="116">
        <f>Academic!J13</f>
        <v>0</v>
      </c>
      <c r="K203" s="116">
        <f>Academic!K13</f>
        <v>0</v>
      </c>
      <c r="L203" s="116">
        <f>Academic!L13</f>
        <v>0</v>
      </c>
      <c r="M203" s="116">
        <f>Academic!M13</f>
        <v>0</v>
      </c>
      <c r="N203" s="116">
        <f>Academic!N13</f>
        <v>0</v>
      </c>
      <c r="O203" s="116">
        <f>Academic!O13</f>
        <v>0</v>
      </c>
      <c r="P203" s="116">
        <f>Academic!P13</f>
        <v>0</v>
      </c>
      <c r="Q203" s="116" t="str">
        <f>IF(Others!H13=0,"-",Others!H13)</f>
        <v>-</v>
      </c>
      <c r="R203" s="116" t="str">
        <f>IF(Others!I13=0,"-",Others!I13)</f>
        <v>-</v>
      </c>
      <c r="S203" s="116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116">
        <f>Academic!Q13</f>
        <v>0</v>
      </c>
    </row>
    <row r="204" spans="1:32" hidden="1" x14ac:dyDescent="0.2">
      <c r="A204" s="7">
        <v>7</v>
      </c>
      <c r="B204" s="3" t="str">
        <f>Academic!C14</f>
        <v>CHRISTOPHER</v>
      </c>
      <c r="C204" s="73">
        <f>Academic!B14</f>
        <v>0</v>
      </c>
      <c r="D204" s="116">
        <f>Academic!D14</f>
        <v>0</v>
      </c>
      <c r="E204" s="116">
        <f>Academic!E14</f>
        <v>0</v>
      </c>
      <c r="F204" s="116">
        <f>Academic!F14</f>
        <v>0</v>
      </c>
      <c r="G204" s="116">
        <f>Academic!G14</f>
        <v>0</v>
      </c>
      <c r="H204" s="116">
        <f>Academic!H14</f>
        <v>0</v>
      </c>
      <c r="I204" s="116">
        <f>Academic!I14</f>
        <v>0</v>
      </c>
      <c r="J204" s="116">
        <f>Academic!J14</f>
        <v>0</v>
      </c>
      <c r="K204" s="116">
        <f>Academic!K14</f>
        <v>0</v>
      </c>
      <c r="L204" s="116">
        <f>Academic!L14</f>
        <v>0</v>
      </c>
      <c r="M204" s="116">
        <f>Academic!M14</f>
        <v>0</v>
      </c>
      <c r="N204" s="116">
        <f>Academic!N14</f>
        <v>0</v>
      </c>
      <c r="O204" s="116">
        <f>Academic!O14</f>
        <v>0</v>
      </c>
      <c r="P204" s="116">
        <f>Academic!P14</f>
        <v>0</v>
      </c>
      <c r="Q204" s="116" t="str">
        <f>IF(Others!H14=0,"-",Others!H14)</f>
        <v>-</v>
      </c>
      <c r="R204" s="116" t="str">
        <f>IF(Others!I14=0,"-",Others!I14)</f>
        <v>-</v>
      </c>
      <c r="S204" s="116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116">
        <f>Academic!Q14</f>
        <v>0</v>
      </c>
    </row>
    <row r="205" spans="1:32" hidden="1" x14ac:dyDescent="0.2">
      <c r="A205" s="7">
        <v>8</v>
      </c>
      <c r="B205" s="3" t="str">
        <f>Academic!C15</f>
        <v>GABRIELA ANSEL TJIPUTRA</v>
      </c>
      <c r="C205" s="73">
        <f>Academic!B15</f>
        <v>0</v>
      </c>
      <c r="D205" s="116">
        <f>Academic!D15</f>
        <v>0</v>
      </c>
      <c r="E205" s="116">
        <f>Academic!E15</f>
        <v>0</v>
      </c>
      <c r="F205" s="116">
        <f>Academic!F15</f>
        <v>0</v>
      </c>
      <c r="G205" s="116">
        <f>Academic!G15</f>
        <v>0</v>
      </c>
      <c r="H205" s="116">
        <f>Academic!H15</f>
        <v>0</v>
      </c>
      <c r="I205" s="116">
        <f>Academic!I15</f>
        <v>0</v>
      </c>
      <c r="J205" s="116">
        <f>Academic!J15</f>
        <v>0</v>
      </c>
      <c r="K205" s="116">
        <f>Academic!K15</f>
        <v>0</v>
      </c>
      <c r="L205" s="116">
        <f>Academic!L15</f>
        <v>0</v>
      </c>
      <c r="M205" s="116">
        <f>Academic!M15</f>
        <v>0</v>
      </c>
      <c r="N205" s="116">
        <f>Academic!N15</f>
        <v>0</v>
      </c>
      <c r="O205" s="116">
        <f>Academic!O15</f>
        <v>0</v>
      </c>
      <c r="P205" s="116">
        <f>Academic!P15</f>
        <v>0</v>
      </c>
      <c r="Q205" s="116" t="str">
        <f>IF(Others!H15=0,"-",Others!H15)</f>
        <v>-</v>
      </c>
      <c r="R205" s="116" t="str">
        <f>IF(Others!I15=0,"-",Others!I15)</f>
        <v>-</v>
      </c>
      <c r="S205" s="116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116">
        <f>Academic!Q15</f>
        <v>0</v>
      </c>
    </row>
    <row r="206" spans="1:32" hidden="1" x14ac:dyDescent="0.2">
      <c r="A206" s="7">
        <v>9</v>
      </c>
      <c r="B206" s="3" t="str">
        <f>Academic!C16</f>
        <v>GERHARD LUKITA</v>
      </c>
      <c r="C206" s="73">
        <f>Academic!B16</f>
        <v>0</v>
      </c>
      <c r="D206" s="116">
        <f>Academic!D16</f>
        <v>0</v>
      </c>
      <c r="E206" s="116">
        <f>Academic!E16</f>
        <v>0</v>
      </c>
      <c r="F206" s="116">
        <f>Academic!F16</f>
        <v>0</v>
      </c>
      <c r="G206" s="116">
        <f>Academic!G16</f>
        <v>0</v>
      </c>
      <c r="H206" s="116">
        <f>Academic!H16</f>
        <v>0</v>
      </c>
      <c r="I206" s="116">
        <f>Academic!I16</f>
        <v>0</v>
      </c>
      <c r="J206" s="116">
        <f>Academic!J16</f>
        <v>0</v>
      </c>
      <c r="K206" s="116">
        <f>Academic!K16</f>
        <v>0</v>
      </c>
      <c r="L206" s="116">
        <f>Academic!L16</f>
        <v>0</v>
      </c>
      <c r="M206" s="116">
        <f>Academic!M16</f>
        <v>0</v>
      </c>
      <c r="N206" s="116">
        <f>Academic!N16</f>
        <v>0</v>
      </c>
      <c r="O206" s="116">
        <f>Academic!O16</f>
        <v>0</v>
      </c>
      <c r="P206" s="116">
        <f>Academic!P16</f>
        <v>0</v>
      </c>
      <c r="Q206" s="116" t="str">
        <f>IF(Others!H16=0,"-",Others!H16)</f>
        <v>-</v>
      </c>
      <c r="R206" s="116" t="str">
        <f>IF(Others!I16=0,"-",Others!I16)</f>
        <v>-</v>
      </c>
      <c r="S206" s="116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116">
        <f>Academic!Q16</f>
        <v>0</v>
      </c>
    </row>
    <row r="207" spans="1:32" hidden="1" x14ac:dyDescent="0.2">
      <c r="A207" s="7">
        <v>10</v>
      </c>
      <c r="B207" s="3" t="str">
        <f>Academic!C17</f>
        <v>JESSICA CLARABELLA CHRISTIANNA</v>
      </c>
      <c r="C207" s="73">
        <f>Academic!B17</f>
        <v>0</v>
      </c>
      <c r="D207" s="116">
        <f>Academic!D17</f>
        <v>0</v>
      </c>
      <c r="E207" s="116">
        <f>Academic!E17</f>
        <v>0</v>
      </c>
      <c r="F207" s="116">
        <f>Academic!F17</f>
        <v>0</v>
      </c>
      <c r="G207" s="116">
        <f>Academic!G17</f>
        <v>0</v>
      </c>
      <c r="H207" s="116">
        <f>Academic!H17</f>
        <v>0</v>
      </c>
      <c r="I207" s="116">
        <f>Academic!I17</f>
        <v>0</v>
      </c>
      <c r="J207" s="116">
        <f>Academic!J17</f>
        <v>0</v>
      </c>
      <c r="K207" s="116">
        <f>Academic!K17</f>
        <v>0</v>
      </c>
      <c r="L207" s="116">
        <f>Academic!L17</f>
        <v>0</v>
      </c>
      <c r="M207" s="116">
        <f>Academic!M17</f>
        <v>0</v>
      </c>
      <c r="N207" s="116">
        <f>Academic!N17</f>
        <v>0</v>
      </c>
      <c r="O207" s="116">
        <f>Academic!O17</f>
        <v>0</v>
      </c>
      <c r="P207" s="116">
        <f>Academic!P17</f>
        <v>0</v>
      </c>
      <c r="Q207" s="116" t="str">
        <f>IF(Others!H17=0,"-",Others!H17)</f>
        <v>-</v>
      </c>
      <c r="R207" s="116" t="str">
        <f>IF(Others!I17=0,"-",Others!I17)</f>
        <v>-</v>
      </c>
      <c r="S207" s="116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116">
        <f>Academic!Q17</f>
        <v>0</v>
      </c>
    </row>
    <row r="208" spans="1:32" hidden="1" x14ac:dyDescent="0.2">
      <c r="A208" s="7">
        <v>11</v>
      </c>
      <c r="B208" s="3" t="str">
        <f>Academic!C18</f>
        <v>JEREMY HARIMAUWAN</v>
      </c>
      <c r="C208" s="73">
        <f>Academic!B18</f>
        <v>0</v>
      </c>
      <c r="D208" s="116">
        <f>Academic!D18</f>
        <v>0</v>
      </c>
      <c r="E208" s="116">
        <f>Academic!E18</f>
        <v>0</v>
      </c>
      <c r="F208" s="116">
        <f>Academic!F18</f>
        <v>0</v>
      </c>
      <c r="G208" s="116">
        <f>Academic!G18</f>
        <v>0</v>
      </c>
      <c r="H208" s="116">
        <f>Academic!H18</f>
        <v>0</v>
      </c>
      <c r="I208" s="116">
        <f>Academic!I18</f>
        <v>0</v>
      </c>
      <c r="J208" s="116">
        <f>Academic!J18</f>
        <v>0</v>
      </c>
      <c r="K208" s="116">
        <f>Academic!K18</f>
        <v>0</v>
      </c>
      <c r="L208" s="116">
        <f>Academic!L18</f>
        <v>0</v>
      </c>
      <c r="M208" s="116">
        <f>Academic!M18</f>
        <v>0</v>
      </c>
      <c r="N208" s="116">
        <f>Academic!N18</f>
        <v>0</v>
      </c>
      <c r="O208" s="116">
        <f>Academic!O18</f>
        <v>0</v>
      </c>
      <c r="P208" s="116">
        <f>Academic!P18</f>
        <v>0</v>
      </c>
      <c r="Q208" s="116" t="str">
        <f>IF(Others!H18=0,"-",Others!H18)</f>
        <v>-</v>
      </c>
      <c r="R208" s="116" t="str">
        <f>IF(Others!I18=0,"-",Others!I18)</f>
        <v>-</v>
      </c>
      <c r="S208" s="116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116">
        <f>Academic!Q18</f>
        <v>0</v>
      </c>
    </row>
    <row r="209" spans="1:32" hidden="1" x14ac:dyDescent="0.2">
      <c r="A209" s="7">
        <v>12</v>
      </c>
      <c r="B209" s="3" t="str">
        <f>Academic!C19</f>
        <v>JOVANKA MAUREEN</v>
      </c>
      <c r="C209" s="73">
        <f>Academic!B19</f>
        <v>0</v>
      </c>
      <c r="D209" s="116">
        <f>Academic!D19</f>
        <v>0</v>
      </c>
      <c r="E209" s="116">
        <f>Academic!E19</f>
        <v>0</v>
      </c>
      <c r="F209" s="116">
        <f>Academic!F19</f>
        <v>0</v>
      </c>
      <c r="G209" s="116">
        <f>Academic!G19</f>
        <v>0</v>
      </c>
      <c r="H209" s="116">
        <f>Academic!H19</f>
        <v>0</v>
      </c>
      <c r="I209" s="116">
        <f>Academic!I19</f>
        <v>0</v>
      </c>
      <c r="J209" s="116">
        <f>Academic!J19</f>
        <v>0</v>
      </c>
      <c r="K209" s="116">
        <f>Academic!K19</f>
        <v>0</v>
      </c>
      <c r="L209" s="116">
        <f>Academic!L19</f>
        <v>0</v>
      </c>
      <c r="M209" s="116">
        <f>Academic!M19</f>
        <v>0</v>
      </c>
      <c r="N209" s="116">
        <f>Academic!N19</f>
        <v>0</v>
      </c>
      <c r="O209" s="116">
        <f>Academic!O19</f>
        <v>0</v>
      </c>
      <c r="P209" s="116">
        <f>Academic!P19</f>
        <v>0</v>
      </c>
      <c r="Q209" s="116" t="str">
        <f>IF(Others!H19=0,"-",Others!H19)</f>
        <v>-</v>
      </c>
      <c r="R209" s="116" t="str">
        <f>IF(Others!I19=0,"-",Others!I19)</f>
        <v>-</v>
      </c>
      <c r="S209" s="116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116">
        <f>Academic!Q19</f>
        <v>0</v>
      </c>
    </row>
    <row r="210" spans="1:32" hidden="1" x14ac:dyDescent="0.2">
      <c r="A210" s="7">
        <v>13</v>
      </c>
      <c r="B210" s="3" t="str">
        <f>Academic!C20</f>
        <v>JUAN NATANIEL FERDIAN</v>
      </c>
      <c r="C210" s="73">
        <f>Academic!B20</f>
        <v>0</v>
      </c>
      <c r="D210" s="116">
        <f>Academic!D20</f>
        <v>0</v>
      </c>
      <c r="E210" s="116">
        <f>Academic!E20</f>
        <v>0</v>
      </c>
      <c r="F210" s="116">
        <f>Academic!F20</f>
        <v>0</v>
      </c>
      <c r="G210" s="116">
        <f>Academic!G20</f>
        <v>0</v>
      </c>
      <c r="H210" s="116">
        <f>Academic!H20</f>
        <v>0</v>
      </c>
      <c r="I210" s="116">
        <f>Academic!I20</f>
        <v>0</v>
      </c>
      <c r="J210" s="116">
        <f>Academic!J20</f>
        <v>0</v>
      </c>
      <c r="K210" s="116">
        <f>Academic!K20</f>
        <v>0</v>
      </c>
      <c r="L210" s="116">
        <f>Academic!L20</f>
        <v>0</v>
      </c>
      <c r="M210" s="116">
        <f>Academic!M20</f>
        <v>0</v>
      </c>
      <c r="N210" s="116">
        <f>Academic!N20</f>
        <v>0</v>
      </c>
      <c r="O210" s="116">
        <f>Academic!O20</f>
        <v>0</v>
      </c>
      <c r="P210" s="116">
        <f>Academic!P20</f>
        <v>0</v>
      </c>
      <c r="Q210" s="116" t="str">
        <f>IF(Others!H20=0,"-",Others!H20)</f>
        <v>-</v>
      </c>
      <c r="R210" s="116" t="str">
        <f>IF(Others!I20=0,"-",Others!I20)</f>
        <v>-</v>
      </c>
      <c r="S210" s="116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116">
        <f>Academic!Q20</f>
        <v>0</v>
      </c>
    </row>
    <row r="211" spans="1:32" hidden="1" x14ac:dyDescent="0.2">
      <c r="A211" s="7">
        <v>14</v>
      </c>
      <c r="B211" s="3" t="str">
        <f>Academic!C21</f>
        <v>LIONY NATALIA</v>
      </c>
      <c r="C211" s="73">
        <f>Academic!B21</f>
        <v>0</v>
      </c>
      <c r="D211" s="116">
        <f>Academic!D21</f>
        <v>0</v>
      </c>
      <c r="E211" s="116">
        <f>Academic!E21</f>
        <v>0</v>
      </c>
      <c r="F211" s="116">
        <f>Academic!F21</f>
        <v>0</v>
      </c>
      <c r="G211" s="116">
        <f>Academic!G21</f>
        <v>0</v>
      </c>
      <c r="H211" s="116">
        <f>Academic!H21</f>
        <v>0</v>
      </c>
      <c r="I211" s="116">
        <f>Academic!I21</f>
        <v>0</v>
      </c>
      <c r="J211" s="116">
        <f>Academic!J21</f>
        <v>0</v>
      </c>
      <c r="K211" s="116">
        <f>Academic!K21</f>
        <v>0</v>
      </c>
      <c r="L211" s="116">
        <f>Academic!L21</f>
        <v>0</v>
      </c>
      <c r="M211" s="116">
        <f>Academic!M21</f>
        <v>0</v>
      </c>
      <c r="N211" s="116">
        <f>Academic!N21</f>
        <v>0</v>
      </c>
      <c r="O211" s="116">
        <f>Academic!O21</f>
        <v>0</v>
      </c>
      <c r="P211" s="116">
        <f>Academic!P21</f>
        <v>0</v>
      </c>
      <c r="Q211" s="116" t="str">
        <f>IF(Others!H21=0,"-",Others!H21)</f>
        <v>-</v>
      </c>
      <c r="R211" s="116" t="str">
        <f>IF(Others!I21=0,"-",Others!I21)</f>
        <v>-</v>
      </c>
      <c r="S211" s="116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116">
        <f>Academic!Q21</f>
        <v>0</v>
      </c>
    </row>
    <row r="212" spans="1:32" hidden="1" x14ac:dyDescent="0.2">
      <c r="A212" s="7">
        <v>15</v>
      </c>
      <c r="B212" s="3" t="str">
        <f>Academic!C22</f>
        <v>NICOLE FERNANDA ANTON</v>
      </c>
      <c r="C212" s="73">
        <f>Academic!B22</f>
        <v>0</v>
      </c>
      <c r="D212" s="116">
        <f>Academic!D22</f>
        <v>0</v>
      </c>
      <c r="E212" s="116">
        <f>Academic!E22</f>
        <v>0</v>
      </c>
      <c r="F212" s="116">
        <f>Academic!F22</f>
        <v>0</v>
      </c>
      <c r="G212" s="116">
        <f>Academic!G22</f>
        <v>0</v>
      </c>
      <c r="H212" s="116">
        <f>Academic!H22</f>
        <v>0</v>
      </c>
      <c r="I212" s="116">
        <f>Academic!I22</f>
        <v>0</v>
      </c>
      <c r="J212" s="116">
        <f>Academic!J22</f>
        <v>0</v>
      </c>
      <c r="K212" s="116">
        <f>Academic!K22</f>
        <v>0</v>
      </c>
      <c r="L212" s="116">
        <f>Academic!L22</f>
        <v>0</v>
      </c>
      <c r="M212" s="116">
        <f>Academic!M22</f>
        <v>0</v>
      </c>
      <c r="N212" s="116">
        <f>Academic!N22</f>
        <v>0</v>
      </c>
      <c r="O212" s="116">
        <f>Academic!O22</f>
        <v>0</v>
      </c>
      <c r="P212" s="116">
        <f>Academic!P22</f>
        <v>0</v>
      </c>
      <c r="Q212" s="116" t="str">
        <f>IF(Others!H22=0,"-",Others!H22)</f>
        <v>-</v>
      </c>
      <c r="R212" s="116" t="str">
        <f>IF(Others!I22=0,"-",Others!I22)</f>
        <v>-</v>
      </c>
      <c r="S212" s="116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116">
        <f>Academic!Q22</f>
        <v>0</v>
      </c>
    </row>
    <row r="213" spans="1:32" hidden="1" x14ac:dyDescent="0.2">
      <c r="A213" s="7">
        <v>16</v>
      </c>
      <c r="B213" s="3" t="str">
        <f>Academic!C23</f>
        <v>SAMUEL SABAHTANI</v>
      </c>
      <c r="C213" s="73">
        <f>Academic!B23</f>
        <v>0</v>
      </c>
      <c r="D213" s="116">
        <f>Academic!D23</f>
        <v>0</v>
      </c>
      <c r="E213" s="116">
        <f>Academic!E23</f>
        <v>0</v>
      </c>
      <c r="F213" s="116">
        <f>Academic!F23</f>
        <v>0</v>
      </c>
      <c r="G213" s="116">
        <f>Academic!G23</f>
        <v>0</v>
      </c>
      <c r="H213" s="116">
        <f>Academic!H23</f>
        <v>0</v>
      </c>
      <c r="I213" s="116">
        <f>Academic!I23</f>
        <v>0</v>
      </c>
      <c r="J213" s="116">
        <f>Academic!J23</f>
        <v>0</v>
      </c>
      <c r="K213" s="116">
        <f>Academic!K23</f>
        <v>0</v>
      </c>
      <c r="L213" s="116">
        <f>Academic!L23</f>
        <v>0</v>
      </c>
      <c r="M213" s="116">
        <f>Academic!M23</f>
        <v>0</v>
      </c>
      <c r="N213" s="116">
        <f>Academic!N23</f>
        <v>0</v>
      </c>
      <c r="O213" s="116">
        <f>Academic!O23</f>
        <v>0</v>
      </c>
      <c r="P213" s="116">
        <f>Academic!P23</f>
        <v>0</v>
      </c>
      <c r="Q213" s="116" t="str">
        <f>IF(Others!H23=0,"-",Others!H23)</f>
        <v>-</v>
      </c>
      <c r="R213" s="116" t="str">
        <f>IF(Others!I23=0,"-",Others!I23)</f>
        <v>-</v>
      </c>
      <c r="S213" s="116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116">
        <f>Academic!Q23</f>
        <v>0</v>
      </c>
    </row>
    <row r="214" spans="1:32" hidden="1" x14ac:dyDescent="0.2">
      <c r="A214" s="7">
        <v>17</v>
      </c>
      <c r="B214" s="3" t="str">
        <f>Academic!C24</f>
        <v>SUBHADRAWAN WILLIAM NATHAN</v>
      </c>
      <c r="C214" s="73">
        <f>Academic!B24</f>
        <v>0</v>
      </c>
      <c r="D214" s="116">
        <f>Academic!D24</f>
        <v>0</v>
      </c>
      <c r="E214" s="116">
        <f>Academic!E24</f>
        <v>0</v>
      </c>
      <c r="F214" s="116">
        <f>Academic!F24</f>
        <v>0</v>
      </c>
      <c r="G214" s="116">
        <f>Academic!G24</f>
        <v>0</v>
      </c>
      <c r="H214" s="116">
        <f>Academic!H24</f>
        <v>0</v>
      </c>
      <c r="I214" s="116">
        <f>Academic!I24</f>
        <v>0</v>
      </c>
      <c r="J214" s="116">
        <f>Academic!J24</f>
        <v>0</v>
      </c>
      <c r="K214" s="116">
        <f>Academic!K24</f>
        <v>0</v>
      </c>
      <c r="L214" s="116">
        <f>Academic!L24</f>
        <v>0</v>
      </c>
      <c r="M214" s="116">
        <f>Academic!M24</f>
        <v>0</v>
      </c>
      <c r="N214" s="116">
        <f>Academic!N24</f>
        <v>0</v>
      </c>
      <c r="O214" s="116">
        <f>Academic!O24</f>
        <v>0</v>
      </c>
      <c r="P214" s="116">
        <f>Academic!P24</f>
        <v>0</v>
      </c>
      <c r="Q214" s="116" t="str">
        <f>IF(Others!H24=0,"-",Others!H24)</f>
        <v>-</v>
      </c>
      <c r="R214" s="116" t="str">
        <f>IF(Others!I24=0,"-",Others!I24)</f>
        <v>-</v>
      </c>
      <c r="S214" s="116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116">
        <f>Academic!Q24</f>
        <v>0</v>
      </c>
    </row>
    <row r="215" spans="1:32" hidden="1" x14ac:dyDescent="0.2">
      <c r="A215" s="7">
        <v>18</v>
      </c>
      <c r="B215" s="3" t="str">
        <f>Academic!C25</f>
        <v>VANESSA AURELIA MULJADI</v>
      </c>
      <c r="C215" s="73">
        <f>Academic!B25</f>
        <v>0</v>
      </c>
      <c r="D215" s="116">
        <f>Academic!D25</f>
        <v>0</v>
      </c>
      <c r="E215" s="116">
        <f>Academic!E25</f>
        <v>0</v>
      </c>
      <c r="F215" s="116">
        <f>Academic!F25</f>
        <v>0</v>
      </c>
      <c r="G215" s="116">
        <f>Academic!G25</f>
        <v>0</v>
      </c>
      <c r="H215" s="116">
        <f>Academic!H25</f>
        <v>0</v>
      </c>
      <c r="I215" s="116">
        <f>Academic!I25</f>
        <v>0</v>
      </c>
      <c r="J215" s="116">
        <f>Academic!J25</f>
        <v>0</v>
      </c>
      <c r="K215" s="116">
        <f>Academic!K25</f>
        <v>0</v>
      </c>
      <c r="L215" s="116">
        <f>Academic!L25</f>
        <v>0</v>
      </c>
      <c r="M215" s="116">
        <f>Academic!M25</f>
        <v>0</v>
      </c>
      <c r="N215" s="116">
        <f>Academic!N25</f>
        <v>0</v>
      </c>
      <c r="O215" s="116">
        <f>Academic!O25</f>
        <v>0</v>
      </c>
      <c r="P215" s="116">
        <f>Academic!P25</f>
        <v>0</v>
      </c>
      <c r="Q215" s="116" t="str">
        <f>IF(Others!H25=0,"-",Others!H25)</f>
        <v>-</v>
      </c>
      <c r="R215" s="116" t="str">
        <f>IF(Others!I25=0,"-",Others!I25)</f>
        <v>-</v>
      </c>
      <c r="S215" s="116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116">
        <f>Academic!Q25</f>
        <v>0</v>
      </c>
    </row>
    <row r="216" spans="1:32" hidden="1" x14ac:dyDescent="0.2">
      <c r="A216" s="7">
        <v>19</v>
      </c>
      <c r="B216" s="3" t="str">
        <f>Academic!C26</f>
        <v>WISNU DWI PRASETYA</v>
      </c>
      <c r="C216" s="73">
        <f>Academic!B26</f>
        <v>0</v>
      </c>
      <c r="D216" s="116">
        <f>Academic!D26</f>
        <v>0</v>
      </c>
      <c r="E216" s="116">
        <f>Academic!E26</f>
        <v>0</v>
      </c>
      <c r="F216" s="116">
        <f>Academic!F26</f>
        <v>0</v>
      </c>
      <c r="G216" s="116">
        <f>Academic!G26</f>
        <v>0</v>
      </c>
      <c r="H216" s="116">
        <f>Academic!H26</f>
        <v>0</v>
      </c>
      <c r="I216" s="116">
        <f>Academic!I26</f>
        <v>0</v>
      </c>
      <c r="J216" s="116">
        <f>Academic!J26</f>
        <v>0</v>
      </c>
      <c r="K216" s="116">
        <f>Academic!K26</f>
        <v>0</v>
      </c>
      <c r="L216" s="116">
        <f>Academic!L26</f>
        <v>0</v>
      </c>
      <c r="M216" s="116">
        <f>Academic!M26</f>
        <v>0</v>
      </c>
      <c r="N216" s="116">
        <f>Academic!N26</f>
        <v>0</v>
      </c>
      <c r="O216" s="116">
        <f>Academic!O26</f>
        <v>0</v>
      </c>
      <c r="P216" s="116">
        <f>Academic!P26</f>
        <v>0</v>
      </c>
      <c r="Q216" s="116" t="str">
        <f>IF(Others!H26=0,"-",Others!H26)</f>
        <v>-</v>
      </c>
      <c r="R216" s="116" t="str">
        <f>IF(Others!I26=0,"-",Others!I26)</f>
        <v>-</v>
      </c>
      <c r="S216" s="116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116">
        <f>Academic!Q26</f>
        <v>0</v>
      </c>
    </row>
    <row r="217" spans="1:32" hidden="1" x14ac:dyDescent="0.2">
      <c r="A217" s="7">
        <v>20</v>
      </c>
      <c r="B217" s="3" t="str">
        <f>Academic!C27</f>
        <v xml:space="preserve"> </v>
      </c>
      <c r="C217" s="73" t="str">
        <f>Academic!B27</f>
        <v xml:space="preserve"> </v>
      </c>
      <c r="D217" s="116">
        <f>Academic!D27</f>
        <v>0</v>
      </c>
      <c r="E217" s="116">
        <f>Academic!E27</f>
        <v>0</v>
      </c>
      <c r="F217" s="116">
        <f>Academic!F27</f>
        <v>0</v>
      </c>
      <c r="G217" s="116">
        <f>Academic!G27</f>
        <v>0</v>
      </c>
      <c r="H217" s="116">
        <f>Academic!H27</f>
        <v>0</v>
      </c>
      <c r="I217" s="116">
        <f>Academic!I27</f>
        <v>0</v>
      </c>
      <c r="J217" s="116">
        <f>Academic!J27</f>
        <v>0</v>
      </c>
      <c r="K217" s="116">
        <f>Academic!K27</f>
        <v>0</v>
      </c>
      <c r="L217" s="116">
        <f>Academic!L27</f>
        <v>0</v>
      </c>
      <c r="M217" s="116">
        <f>Academic!M27</f>
        <v>0</v>
      </c>
      <c r="N217" s="116">
        <f>Academic!N27</f>
        <v>0</v>
      </c>
      <c r="O217" s="116">
        <f>Academic!O27</f>
        <v>0</v>
      </c>
      <c r="P217" s="116">
        <f>Academic!P27</f>
        <v>0</v>
      </c>
      <c r="Q217" s="116" t="str">
        <f>IF(Others!H27=0,"-",Others!H27)</f>
        <v>-</v>
      </c>
      <c r="R217" s="116" t="str">
        <f>IF(Others!I27=0,"-",Others!I27)</f>
        <v>-</v>
      </c>
      <c r="S217" s="116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116">
        <f>Academic!Q27</f>
        <v>0</v>
      </c>
    </row>
    <row r="218" spans="1:32" hidden="1" x14ac:dyDescent="0.2">
      <c r="A218" s="7">
        <v>21</v>
      </c>
      <c r="B218" s="3" t="str">
        <f>Academic!C28</f>
        <v xml:space="preserve"> </v>
      </c>
      <c r="C218" s="73" t="str">
        <f>Academic!B28</f>
        <v xml:space="preserve"> </v>
      </c>
      <c r="D218" s="116">
        <f>Academic!D28</f>
        <v>0</v>
      </c>
      <c r="E218" s="116">
        <f>Academic!E28</f>
        <v>0</v>
      </c>
      <c r="F218" s="116">
        <f>Academic!F28</f>
        <v>0</v>
      </c>
      <c r="G218" s="116">
        <f>Academic!G28</f>
        <v>0</v>
      </c>
      <c r="H218" s="116">
        <f>Academic!H28</f>
        <v>0</v>
      </c>
      <c r="I218" s="116">
        <f>Academic!I28</f>
        <v>0</v>
      </c>
      <c r="J218" s="116">
        <f>Academic!J28</f>
        <v>0</v>
      </c>
      <c r="K218" s="116">
        <f>Academic!K28</f>
        <v>0</v>
      </c>
      <c r="L218" s="116">
        <f>Academic!L28</f>
        <v>0</v>
      </c>
      <c r="M218" s="116">
        <f>Academic!M28</f>
        <v>0</v>
      </c>
      <c r="N218" s="116">
        <f>Academic!N28</f>
        <v>0</v>
      </c>
      <c r="O218" s="116">
        <f>Academic!O28</f>
        <v>0</v>
      </c>
      <c r="P218" s="116">
        <f>Academic!P28</f>
        <v>0</v>
      </c>
      <c r="Q218" s="116" t="str">
        <f>IF(Others!H28=0,"-",Others!H28)</f>
        <v>-</v>
      </c>
      <c r="R218" s="116" t="str">
        <f>IF(Others!I28=0,"-",Others!I28)</f>
        <v>-</v>
      </c>
      <c r="S218" s="116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116">
        <f>Academic!Q28</f>
        <v>0</v>
      </c>
    </row>
    <row r="219" spans="1:32" hidden="1" x14ac:dyDescent="0.2">
      <c r="A219" s="7">
        <v>22</v>
      </c>
      <c r="B219" s="3" t="str">
        <f>Academic!C29</f>
        <v xml:space="preserve"> </v>
      </c>
      <c r="C219" s="73" t="str">
        <f>Academic!B29</f>
        <v xml:space="preserve"> </v>
      </c>
      <c r="D219" s="116">
        <f>Academic!D29</f>
        <v>0</v>
      </c>
      <c r="E219" s="116">
        <f>Academic!E29</f>
        <v>0</v>
      </c>
      <c r="F219" s="116">
        <f>Academic!F29</f>
        <v>0</v>
      </c>
      <c r="G219" s="116">
        <f>Academic!G29</f>
        <v>0</v>
      </c>
      <c r="H219" s="116">
        <f>Academic!H29</f>
        <v>0</v>
      </c>
      <c r="I219" s="116">
        <f>Academic!I29</f>
        <v>0</v>
      </c>
      <c r="J219" s="116">
        <f>Academic!J29</f>
        <v>0</v>
      </c>
      <c r="K219" s="116">
        <f>Academic!K29</f>
        <v>0</v>
      </c>
      <c r="L219" s="116">
        <f>Academic!L29</f>
        <v>0</v>
      </c>
      <c r="M219" s="116">
        <f>Academic!M29</f>
        <v>0</v>
      </c>
      <c r="N219" s="116">
        <f>Academic!N29</f>
        <v>0</v>
      </c>
      <c r="O219" s="116">
        <f>Academic!O29</f>
        <v>0</v>
      </c>
      <c r="P219" s="116">
        <f>Academic!P29</f>
        <v>0</v>
      </c>
      <c r="Q219" s="116" t="str">
        <f>IF(Others!H29=0,"-",Others!H29)</f>
        <v>-</v>
      </c>
      <c r="R219" s="116" t="str">
        <f>IF(Others!I29=0,"-",Others!I29)</f>
        <v>-</v>
      </c>
      <c r="S219" s="116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116">
        <f>Academic!Q29</f>
        <v>0</v>
      </c>
    </row>
    <row r="220" spans="1:32" hidden="1" x14ac:dyDescent="0.2">
      <c r="A220" s="7">
        <v>23</v>
      </c>
      <c r="B220" s="3" t="str">
        <f>Academic!C30</f>
        <v xml:space="preserve"> </v>
      </c>
      <c r="C220" s="73" t="str">
        <f>Academic!B30</f>
        <v xml:space="preserve"> </v>
      </c>
      <c r="D220" s="116">
        <f>Academic!D30</f>
        <v>0</v>
      </c>
      <c r="E220" s="116">
        <f>Academic!E30</f>
        <v>0</v>
      </c>
      <c r="F220" s="116">
        <f>Academic!F30</f>
        <v>0</v>
      </c>
      <c r="G220" s="116">
        <f>Academic!G30</f>
        <v>0</v>
      </c>
      <c r="H220" s="116">
        <f>Academic!H30</f>
        <v>0</v>
      </c>
      <c r="I220" s="116">
        <f>Academic!I30</f>
        <v>0</v>
      </c>
      <c r="J220" s="116">
        <f>Academic!J30</f>
        <v>0</v>
      </c>
      <c r="K220" s="116">
        <f>Academic!K30</f>
        <v>0</v>
      </c>
      <c r="L220" s="116">
        <f>Academic!L30</f>
        <v>0</v>
      </c>
      <c r="M220" s="116">
        <f>Academic!M30</f>
        <v>0</v>
      </c>
      <c r="N220" s="116">
        <f>Academic!N30</f>
        <v>0</v>
      </c>
      <c r="O220" s="116">
        <f>Academic!O30</f>
        <v>0</v>
      </c>
      <c r="P220" s="116">
        <f>Academic!P30</f>
        <v>0</v>
      </c>
      <c r="Q220" s="116" t="str">
        <f>IF(Others!H30=0,"-",Others!H30)</f>
        <v>-</v>
      </c>
      <c r="R220" s="116" t="str">
        <f>IF(Others!I30=0,"-",Others!I30)</f>
        <v>-</v>
      </c>
      <c r="S220" s="116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116">
        <f>Academic!Q30</f>
        <v>0</v>
      </c>
    </row>
    <row r="221" spans="1:32" hidden="1" x14ac:dyDescent="0.2">
      <c r="A221" s="116">
        <v>24</v>
      </c>
      <c r="B221" s="3" t="str">
        <f>Academic!C31</f>
        <v xml:space="preserve"> </v>
      </c>
      <c r="C221" s="73" t="str">
        <f>Academic!B31</f>
        <v xml:space="preserve"> </v>
      </c>
      <c r="D221" s="116">
        <f>Academic!D31</f>
        <v>0</v>
      </c>
      <c r="E221" s="116">
        <f>Academic!E31</f>
        <v>0</v>
      </c>
      <c r="F221" s="116">
        <f>Academic!F31</f>
        <v>0</v>
      </c>
      <c r="G221" s="116">
        <f>Academic!G31</f>
        <v>0</v>
      </c>
      <c r="H221" s="116">
        <f>Academic!H31</f>
        <v>0</v>
      </c>
      <c r="I221" s="116">
        <f>Academic!I31</f>
        <v>0</v>
      </c>
      <c r="J221" s="116">
        <f>Academic!J31</f>
        <v>0</v>
      </c>
      <c r="K221" s="116">
        <f>Academic!K31</f>
        <v>0</v>
      </c>
      <c r="L221" s="116">
        <f>Academic!L31</f>
        <v>0</v>
      </c>
      <c r="M221" s="116">
        <f>Academic!M31</f>
        <v>0</v>
      </c>
      <c r="N221" s="116">
        <f>Academic!N31</f>
        <v>0</v>
      </c>
      <c r="O221" s="116">
        <f>Academic!O31</f>
        <v>0</v>
      </c>
      <c r="P221" s="116">
        <f>Academic!P31</f>
        <v>0</v>
      </c>
      <c r="Q221" s="116" t="str">
        <f>IF(Others!H31=0,"-",Others!H31)</f>
        <v>-</v>
      </c>
      <c r="R221" s="116" t="str">
        <f>IF(Others!I31=0,"-",Others!I31)</f>
        <v>-</v>
      </c>
      <c r="S221" s="116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16">
        <f>Academic!Q31</f>
        <v>0</v>
      </c>
    </row>
    <row r="222" spans="1:32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116">
        <f>Academic!D32</f>
        <v>0</v>
      </c>
      <c r="E222" s="116">
        <f>Academic!E32</f>
        <v>0</v>
      </c>
      <c r="F222" s="116">
        <f>Academic!F32</f>
        <v>0</v>
      </c>
      <c r="G222" s="116">
        <f>Academic!G32</f>
        <v>0</v>
      </c>
      <c r="H222" s="116">
        <f>Academic!H32</f>
        <v>0</v>
      </c>
      <c r="I222" s="116">
        <f>Academic!I32</f>
        <v>0</v>
      </c>
      <c r="J222" s="116">
        <f>Academic!J32</f>
        <v>0</v>
      </c>
      <c r="K222" s="116">
        <f>Academic!K32</f>
        <v>0</v>
      </c>
      <c r="L222" s="116">
        <f>Academic!L32</f>
        <v>0</v>
      </c>
      <c r="M222" s="116">
        <f>Academic!M32</f>
        <v>0</v>
      </c>
      <c r="N222" s="116">
        <f>Academic!N32</f>
        <v>0</v>
      </c>
      <c r="O222" s="116">
        <f>Academic!O32</f>
        <v>0</v>
      </c>
      <c r="P222" s="116">
        <f>Academic!P32</f>
        <v>0</v>
      </c>
      <c r="Q222" s="116" t="str">
        <f>IF(Others!H32=0,"-",Others!H32)</f>
        <v>-</v>
      </c>
      <c r="R222" s="116" t="str">
        <f>IF(Others!I32=0,"-",Others!I32)</f>
        <v>-</v>
      </c>
      <c r="S222" s="116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116">
        <f>Academic!Q32</f>
        <v>0</v>
      </c>
    </row>
    <row r="223" spans="1:32" hidden="1" x14ac:dyDescent="0.2">
      <c r="A223" s="74"/>
    </row>
    <row r="224" spans="1:32" x14ac:dyDescent="0.2">
      <c r="A224" s="74"/>
    </row>
    <row r="225" spans="1:1" x14ac:dyDescent="0.2">
      <c r="A225" s="74"/>
    </row>
  </sheetData>
  <sheetProtection password="C71F" sheet="1" objects="1" scenarios="1"/>
  <mergeCells count="164"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H9:J9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</mergeCells>
  <printOptions horizontalCentered="1"/>
  <pageMargins left="0.35433070866141736" right="0.35433070866141736" top="0.39370078740157483" bottom="0" header="0.51181102362204722" footer="0.51181102362204722"/>
  <pageSetup paperSize="9" orientation="portrait" horizontalDpi="4294967293" verticalDpi="300" r:id="rId1"/>
  <headerFooter alignWithMargins="0"/>
  <rowBreaks count="1" manualBreakCount="1">
    <brk id="35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Score</vt:lpstr>
      <vt:lpstr>Score_Table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</cp:lastModifiedBy>
  <cp:lastPrinted>2015-01-05T11:16:29Z</cp:lastPrinted>
  <dcterms:created xsi:type="dcterms:W3CDTF">2011-10-20T02:10:14Z</dcterms:created>
  <dcterms:modified xsi:type="dcterms:W3CDTF">2017-09-21T11:09:02Z</dcterms:modified>
</cp:coreProperties>
</file>