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Bukit Sion\RAPOR SISWA\2017-2018\Term 1\"/>
    </mc:Choice>
  </mc:AlternateContent>
  <workbookProtection workbookAlgorithmName="SHA-512" workbookHashValue="c5+TAPEIwPEc96PqvBaMtTXOf8brZA4WHJBY/SQ89NSC2TStbHl8fjDP1b2qmkiDZ5ruD6kZkHQFWSMAhICngQ==" workbookSaltValue="o2JamALGsLApW4LCVg6U8Q==" workbookSpinCount="100000" lockStructure="1"/>
  <bookViews>
    <workbookView xWindow="0" yWindow="0" windowWidth="19200" windowHeight="8235" activeTab="1"/>
  </bookViews>
  <sheets>
    <sheet name="Cover" sheetId="6" r:id="rId1"/>
    <sheet name="Student Data" sheetId="4" r:id="rId2"/>
    <sheet name="Data" sheetId="3" state="hidden" r:id="rId3"/>
    <sheet name="Marking Page" sheetId="2" r:id="rId4"/>
    <sheet name="Behavior Page" sheetId="7" r:id="rId5"/>
    <sheet name="Formula" sheetId="5" state="hidden" r:id="rId6"/>
    <sheet name="Report Page" sheetId="1" r:id="rId7"/>
  </sheets>
  <definedNames>
    <definedName name="birth">Data!$B$92:$E$116</definedName>
    <definedName name="formula1">Formula!$A$8:$T$31</definedName>
    <definedName name="gender">Data!$B$63:$E$87</definedName>
    <definedName name="id">Data!$B$34:$E$58</definedName>
    <definedName name="mand">Data!$B$121:$E$145</definedName>
    <definedName name="name">Data!$B$4:$E$29</definedName>
    <definedName name="_xlnm.Print_Area" localSheetId="4">'Behavior Page'!$A$1:$N$39</definedName>
    <definedName name="_xlnm.Print_Area" localSheetId="3">'Marking Page'!$A$1:$S$44</definedName>
    <definedName name="_xlnm.Print_Area" localSheetId="6">'Report Page'!$A$1:$I$106</definedName>
    <definedName name="sikap">'Behavior Page'!$A$9:$N$32</definedName>
  </definedNames>
  <calcPr calcId="152511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0" i="1" l="1"/>
  <c r="P7" i="5"/>
  <c r="B39" i="7"/>
  <c r="N34" i="2"/>
  <c r="N35" i="2"/>
  <c r="N36" i="2"/>
  <c r="R39" i="2" l="1"/>
  <c r="M34" i="7" s="1"/>
  <c r="N5" i="7"/>
  <c r="C5" i="7"/>
  <c r="A5" i="7"/>
  <c r="H37" i="1" l="1"/>
  <c r="H95" i="1" s="1"/>
  <c r="S5" i="2"/>
  <c r="C5" i="2"/>
  <c r="C3" i="5" s="1"/>
  <c r="C6" i="1" s="1"/>
  <c r="C52" i="1" s="1"/>
  <c r="A5" i="2"/>
  <c r="R3" i="5" l="1"/>
  <c r="H10" i="1" s="1"/>
  <c r="B3" i="5"/>
  <c r="A3" i="5"/>
  <c r="A6" i="1" s="1"/>
  <c r="A52" i="1" s="1"/>
  <c r="B123" i="3"/>
  <c r="C123" i="3"/>
  <c r="D123" i="3"/>
  <c r="E123" i="3"/>
  <c r="B124" i="3"/>
  <c r="C124" i="3"/>
  <c r="D124" i="3"/>
  <c r="E124" i="3"/>
  <c r="B125" i="3"/>
  <c r="C125" i="3"/>
  <c r="D125" i="3"/>
  <c r="E125" i="3"/>
  <c r="B126" i="3"/>
  <c r="C126" i="3"/>
  <c r="D126" i="3"/>
  <c r="E126" i="3"/>
  <c r="B127" i="3"/>
  <c r="C127" i="3"/>
  <c r="D127" i="3"/>
  <c r="E127" i="3"/>
  <c r="B128" i="3"/>
  <c r="C128" i="3"/>
  <c r="D128" i="3"/>
  <c r="E128" i="3"/>
  <c r="B129" i="3"/>
  <c r="C129" i="3"/>
  <c r="D129" i="3"/>
  <c r="E129" i="3"/>
  <c r="B130" i="3"/>
  <c r="C130" i="3"/>
  <c r="D130" i="3"/>
  <c r="E130" i="3"/>
  <c r="B131" i="3"/>
  <c r="C131" i="3"/>
  <c r="D131" i="3"/>
  <c r="E131" i="3"/>
  <c r="B132" i="3"/>
  <c r="C132" i="3"/>
  <c r="D132" i="3"/>
  <c r="E132" i="3"/>
  <c r="B133" i="3"/>
  <c r="C133" i="3"/>
  <c r="D133" i="3"/>
  <c r="E133" i="3"/>
  <c r="B134" i="3"/>
  <c r="C134" i="3"/>
  <c r="D134" i="3"/>
  <c r="E134" i="3"/>
  <c r="B135" i="3"/>
  <c r="C135" i="3"/>
  <c r="D135" i="3"/>
  <c r="E135" i="3"/>
  <c r="B136" i="3"/>
  <c r="C136" i="3"/>
  <c r="D136" i="3"/>
  <c r="E136" i="3"/>
  <c r="B137" i="3"/>
  <c r="C137" i="3"/>
  <c r="D137" i="3"/>
  <c r="E137" i="3"/>
  <c r="B138" i="3"/>
  <c r="C138" i="3"/>
  <c r="D138" i="3"/>
  <c r="E138" i="3"/>
  <c r="B139" i="3"/>
  <c r="C139" i="3"/>
  <c r="D139" i="3"/>
  <c r="E139" i="3"/>
  <c r="B140" i="3"/>
  <c r="C140" i="3"/>
  <c r="D140" i="3"/>
  <c r="E140" i="3"/>
  <c r="B141" i="3"/>
  <c r="C141" i="3"/>
  <c r="D141" i="3"/>
  <c r="E141" i="3"/>
  <c r="B142" i="3"/>
  <c r="C142" i="3"/>
  <c r="D142" i="3"/>
  <c r="E142" i="3"/>
  <c r="B143" i="3"/>
  <c r="C143" i="3"/>
  <c r="D143" i="3"/>
  <c r="E143" i="3"/>
  <c r="B144" i="3"/>
  <c r="C144" i="3"/>
  <c r="D144" i="3"/>
  <c r="E144" i="3"/>
  <c r="B145" i="3"/>
  <c r="C145" i="3"/>
  <c r="D145" i="3"/>
  <c r="E145" i="3"/>
  <c r="E122" i="3"/>
  <c r="D122" i="3"/>
  <c r="C122" i="3"/>
  <c r="B122" i="3"/>
  <c r="H56" i="1" l="1"/>
  <c r="Q44" i="2"/>
  <c r="E34" i="2"/>
  <c r="F34" i="2"/>
  <c r="G34" i="2"/>
  <c r="H34" i="2"/>
  <c r="I34" i="2"/>
  <c r="J34" i="2"/>
  <c r="K34" i="2"/>
  <c r="L34" i="2"/>
  <c r="M34" i="2"/>
  <c r="O34" i="2"/>
  <c r="P34" i="2"/>
  <c r="D34" i="2"/>
  <c r="E35" i="2"/>
  <c r="F35" i="2"/>
  <c r="G35" i="2"/>
  <c r="H35" i="2"/>
  <c r="I35" i="2"/>
  <c r="J35" i="2"/>
  <c r="K35" i="2"/>
  <c r="L35" i="2"/>
  <c r="M35" i="2"/>
  <c r="O35" i="2"/>
  <c r="P35" i="2"/>
  <c r="E36" i="2"/>
  <c r="F36" i="2"/>
  <c r="G36" i="2"/>
  <c r="H36" i="2"/>
  <c r="I36" i="2"/>
  <c r="J36" i="2"/>
  <c r="K36" i="2"/>
  <c r="L36" i="2"/>
  <c r="M36" i="2"/>
  <c r="O36" i="2"/>
  <c r="P36" i="2"/>
  <c r="D36" i="2"/>
  <c r="D35" i="2"/>
  <c r="Q7" i="5"/>
  <c r="R7" i="5"/>
  <c r="G42" i="1" l="1"/>
  <c r="G100" i="1" s="1"/>
  <c r="L39" i="7"/>
  <c r="O7" i="5"/>
  <c r="N7" i="5"/>
  <c r="M7" i="5"/>
  <c r="L7" i="5"/>
  <c r="K7" i="5"/>
  <c r="J7" i="5"/>
  <c r="I7" i="5"/>
  <c r="H7" i="5"/>
  <c r="G7" i="5"/>
  <c r="F7" i="5"/>
  <c r="B94" i="3"/>
  <c r="C94" i="3"/>
  <c r="D94" i="3"/>
  <c r="E94" i="3"/>
  <c r="B95" i="3"/>
  <c r="C95" i="3"/>
  <c r="D95" i="3"/>
  <c r="E95" i="3"/>
  <c r="B96" i="3"/>
  <c r="C96" i="3"/>
  <c r="D96" i="3"/>
  <c r="E96" i="3"/>
  <c r="B97" i="3"/>
  <c r="C97" i="3"/>
  <c r="D97" i="3"/>
  <c r="E97" i="3"/>
  <c r="B98" i="3"/>
  <c r="C98" i="3"/>
  <c r="D98" i="3"/>
  <c r="E98" i="3"/>
  <c r="B99" i="3"/>
  <c r="C99" i="3"/>
  <c r="D99" i="3"/>
  <c r="E99" i="3"/>
  <c r="B100" i="3"/>
  <c r="C100" i="3"/>
  <c r="D100" i="3"/>
  <c r="E100" i="3"/>
  <c r="B101" i="3"/>
  <c r="C101" i="3"/>
  <c r="D101" i="3"/>
  <c r="E101" i="3"/>
  <c r="B102" i="3"/>
  <c r="C102" i="3"/>
  <c r="D102" i="3"/>
  <c r="E102" i="3"/>
  <c r="B103" i="3"/>
  <c r="C103" i="3"/>
  <c r="D103" i="3"/>
  <c r="E103" i="3"/>
  <c r="B104" i="3"/>
  <c r="C104" i="3"/>
  <c r="D104" i="3"/>
  <c r="E104" i="3"/>
  <c r="B105" i="3"/>
  <c r="C105" i="3"/>
  <c r="D105" i="3"/>
  <c r="E105" i="3"/>
  <c r="B106" i="3"/>
  <c r="C106" i="3"/>
  <c r="D106" i="3"/>
  <c r="E106" i="3"/>
  <c r="B107" i="3"/>
  <c r="C107" i="3"/>
  <c r="D107" i="3"/>
  <c r="E107" i="3"/>
  <c r="B108" i="3"/>
  <c r="C108" i="3"/>
  <c r="D108" i="3"/>
  <c r="E108" i="3"/>
  <c r="B109" i="3"/>
  <c r="C109" i="3"/>
  <c r="D109" i="3"/>
  <c r="E109" i="3"/>
  <c r="B110" i="3"/>
  <c r="C110" i="3"/>
  <c r="D110" i="3"/>
  <c r="E110" i="3"/>
  <c r="B111" i="3"/>
  <c r="C111" i="3"/>
  <c r="D111" i="3"/>
  <c r="E111" i="3"/>
  <c r="B112" i="3"/>
  <c r="C112" i="3"/>
  <c r="D112" i="3"/>
  <c r="E112" i="3"/>
  <c r="B113" i="3"/>
  <c r="C113" i="3"/>
  <c r="D113" i="3"/>
  <c r="E113" i="3"/>
  <c r="B114" i="3"/>
  <c r="C114" i="3"/>
  <c r="D114" i="3"/>
  <c r="E114" i="3"/>
  <c r="B115" i="3"/>
  <c r="C115" i="3"/>
  <c r="D115" i="3"/>
  <c r="E115" i="3"/>
  <c r="B116" i="3"/>
  <c r="C116" i="3"/>
  <c r="D116" i="3"/>
  <c r="E116" i="3"/>
  <c r="E93" i="3"/>
  <c r="D93" i="3"/>
  <c r="C93" i="3"/>
  <c r="B93" i="3"/>
  <c r="B65" i="3"/>
  <c r="C65" i="3"/>
  <c r="D65" i="3"/>
  <c r="E65" i="3"/>
  <c r="B66" i="3"/>
  <c r="C66" i="3"/>
  <c r="D66" i="3"/>
  <c r="E66" i="3"/>
  <c r="B67" i="3"/>
  <c r="C67" i="3"/>
  <c r="D67" i="3"/>
  <c r="E67" i="3"/>
  <c r="B68" i="3"/>
  <c r="C68" i="3"/>
  <c r="D68" i="3"/>
  <c r="E68" i="3"/>
  <c r="B69" i="3"/>
  <c r="C69" i="3"/>
  <c r="D69" i="3"/>
  <c r="E69" i="3"/>
  <c r="B70" i="3"/>
  <c r="C70" i="3"/>
  <c r="D70" i="3"/>
  <c r="E70" i="3"/>
  <c r="B71" i="3"/>
  <c r="C71" i="3"/>
  <c r="D71" i="3"/>
  <c r="E71" i="3"/>
  <c r="B72" i="3"/>
  <c r="C72" i="3"/>
  <c r="D72" i="3"/>
  <c r="E72" i="3"/>
  <c r="B73" i="3"/>
  <c r="C73" i="3"/>
  <c r="D73" i="3"/>
  <c r="E73" i="3"/>
  <c r="B74" i="3"/>
  <c r="C74" i="3"/>
  <c r="D74" i="3"/>
  <c r="E74" i="3"/>
  <c r="B75" i="3"/>
  <c r="C75" i="3"/>
  <c r="D75" i="3"/>
  <c r="E75" i="3"/>
  <c r="B76" i="3"/>
  <c r="C76" i="3"/>
  <c r="D76" i="3"/>
  <c r="E76" i="3"/>
  <c r="B77" i="3"/>
  <c r="C77" i="3"/>
  <c r="D77" i="3"/>
  <c r="E77" i="3"/>
  <c r="B78" i="3"/>
  <c r="C78" i="3"/>
  <c r="D78" i="3"/>
  <c r="E78" i="3"/>
  <c r="B79" i="3"/>
  <c r="C79" i="3"/>
  <c r="D79" i="3"/>
  <c r="E79" i="3"/>
  <c r="B80" i="3"/>
  <c r="C80" i="3"/>
  <c r="D80" i="3"/>
  <c r="E80" i="3"/>
  <c r="B81" i="3"/>
  <c r="C81" i="3"/>
  <c r="D81" i="3"/>
  <c r="E81" i="3"/>
  <c r="B82" i="3"/>
  <c r="C82" i="3"/>
  <c r="D82" i="3"/>
  <c r="E82" i="3"/>
  <c r="B83" i="3"/>
  <c r="C83" i="3"/>
  <c r="D83" i="3"/>
  <c r="E83" i="3"/>
  <c r="B84" i="3"/>
  <c r="C84" i="3"/>
  <c r="D84" i="3"/>
  <c r="E84" i="3"/>
  <c r="B85" i="3"/>
  <c r="C85" i="3"/>
  <c r="D85" i="3"/>
  <c r="E85" i="3"/>
  <c r="B86" i="3"/>
  <c r="C86" i="3"/>
  <c r="D86" i="3"/>
  <c r="E86" i="3"/>
  <c r="B87" i="3"/>
  <c r="C87" i="3"/>
  <c r="D87" i="3"/>
  <c r="E87" i="3"/>
  <c r="E64" i="3"/>
  <c r="D64" i="3"/>
  <c r="C64" i="3"/>
  <c r="B64" i="3"/>
  <c r="C36" i="3"/>
  <c r="D36" i="3"/>
  <c r="E36" i="3"/>
  <c r="C37" i="3"/>
  <c r="D37" i="3"/>
  <c r="E37" i="3"/>
  <c r="C38" i="3"/>
  <c r="D38" i="3"/>
  <c r="E38" i="3"/>
  <c r="C39" i="3"/>
  <c r="D39" i="3"/>
  <c r="E39" i="3"/>
  <c r="C40" i="3"/>
  <c r="D40" i="3"/>
  <c r="E40" i="3"/>
  <c r="C41" i="3"/>
  <c r="D41" i="3"/>
  <c r="E41" i="3"/>
  <c r="C42" i="3"/>
  <c r="D42" i="3"/>
  <c r="E42" i="3"/>
  <c r="C43" i="3"/>
  <c r="D43" i="3"/>
  <c r="E43" i="3"/>
  <c r="C44" i="3"/>
  <c r="D44" i="3"/>
  <c r="E44" i="3"/>
  <c r="C45" i="3"/>
  <c r="D45" i="3"/>
  <c r="E45" i="3"/>
  <c r="C46" i="3"/>
  <c r="D46" i="3"/>
  <c r="E46" i="3"/>
  <c r="C47" i="3"/>
  <c r="D47" i="3"/>
  <c r="E47" i="3"/>
  <c r="C48" i="3"/>
  <c r="D48" i="3"/>
  <c r="E48" i="3"/>
  <c r="C49" i="3"/>
  <c r="D49" i="3"/>
  <c r="E49" i="3"/>
  <c r="C50" i="3"/>
  <c r="D50" i="3"/>
  <c r="E50" i="3"/>
  <c r="C51" i="3"/>
  <c r="D51" i="3"/>
  <c r="E51" i="3"/>
  <c r="C52" i="3"/>
  <c r="D52" i="3"/>
  <c r="E52" i="3"/>
  <c r="C53" i="3"/>
  <c r="D53" i="3"/>
  <c r="E53" i="3"/>
  <c r="C54" i="3"/>
  <c r="D54" i="3"/>
  <c r="E54" i="3"/>
  <c r="C55" i="3"/>
  <c r="D55" i="3"/>
  <c r="E55" i="3"/>
  <c r="C56" i="3"/>
  <c r="D56" i="3"/>
  <c r="E56" i="3"/>
  <c r="C57" i="3"/>
  <c r="D57" i="3"/>
  <c r="E57" i="3"/>
  <c r="C58" i="3"/>
  <c r="D58" i="3"/>
  <c r="E58" i="3"/>
  <c r="E35" i="3"/>
  <c r="D35" i="3"/>
  <c r="C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35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6" i="3"/>
  <c r="C26" i="2" l="1"/>
  <c r="C26" i="7" s="1"/>
  <c r="C25" i="2"/>
  <c r="C25" i="7" s="1"/>
  <c r="C24" i="2"/>
  <c r="C24" i="7" s="1"/>
  <c r="C23" i="2"/>
  <c r="C23" i="7" s="1"/>
  <c r="C22" i="2"/>
  <c r="C22" i="7" s="1"/>
  <c r="C21" i="2"/>
  <c r="C21" i="7" s="1"/>
  <c r="C20" i="2"/>
  <c r="C20" i="7" s="1"/>
  <c r="C19" i="2"/>
  <c r="C19" i="7" s="1"/>
  <c r="C18" i="2"/>
  <c r="C18" i="7" s="1"/>
  <c r="C17" i="2"/>
  <c r="C17" i="7" s="1"/>
  <c r="C16" i="2"/>
  <c r="C16" i="7" s="1"/>
  <c r="C15" i="2"/>
  <c r="C15" i="7" s="1"/>
  <c r="C14" i="2"/>
  <c r="C14" i="7" s="1"/>
  <c r="C13" i="2"/>
  <c r="C13" i="7" s="1"/>
  <c r="C12" i="2"/>
  <c r="C12" i="7" s="1"/>
  <c r="C11" i="2"/>
  <c r="C11" i="7" s="1"/>
  <c r="C10" i="2"/>
  <c r="C10" i="7" s="1"/>
  <c r="C9" i="2"/>
  <c r="C9" i="7" s="1"/>
  <c r="C32" i="2"/>
  <c r="C32" i="7" s="1"/>
  <c r="C31" i="2"/>
  <c r="C31" i="7" s="1"/>
  <c r="C30" i="2"/>
  <c r="C30" i="7" s="1"/>
  <c r="C29" i="2"/>
  <c r="C29" i="7" s="1"/>
  <c r="C28" i="2"/>
  <c r="C28" i="7" s="1"/>
  <c r="C27" i="2"/>
  <c r="C27" i="7" s="1"/>
  <c r="V10" i="2" l="1"/>
  <c r="S9" i="5" s="1"/>
  <c r="T9" i="5" s="1"/>
  <c r="C9" i="5"/>
  <c r="V18" i="2"/>
  <c r="S17" i="5" s="1"/>
  <c r="T17" i="5" s="1"/>
  <c r="C17" i="5"/>
  <c r="V22" i="2"/>
  <c r="S21" i="5" s="1"/>
  <c r="T21" i="5" s="1"/>
  <c r="C21" i="5"/>
  <c r="V27" i="2"/>
  <c r="S26" i="5" s="1"/>
  <c r="T26" i="5" s="1"/>
  <c r="C26" i="5"/>
  <c r="V31" i="2"/>
  <c r="S30" i="5" s="1"/>
  <c r="T30" i="5" s="1"/>
  <c r="C30" i="5"/>
  <c r="V11" i="2"/>
  <c r="S10" i="5" s="1"/>
  <c r="T10" i="5" s="1"/>
  <c r="C10" i="5"/>
  <c r="V15" i="2"/>
  <c r="S14" i="5" s="1"/>
  <c r="T14" i="5" s="1"/>
  <c r="C14" i="5"/>
  <c r="V19" i="2"/>
  <c r="S18" i="5" s="1"/>
  <c r="T18" i="5" s="1"/>
  <c r="C18" i="5"/>
  <c r="V23" i="2"/>
  <c r="S22" i="5" s="1"/>
  <c r="T22" i="5" s="1"/>
  <c r="C22" i="5"/>
  <c r="V12" i="2"/>
  <c r="S11" i="5" s="1"/>
  <c r="T11" i="5" s="1"/>
  <c r="C11" i="5"/>
  <c r="V24" i="2"/>
  <c r="S23" i="5" s="1"/>
  <c r="T23" i="5" s="1"/>
  <c r="C23" i="5"/>
  <c r="V28" i="2"/>
  <c r="S27" i="5" s="1"/>
  <c r="T27" i="5" s="1"/>
  <c r="C27" i="5"/>
  <c r="V32" i="2"/>
  <c r="S31" i="5" s="1"/>
  <c r="T31" i="5" s="1"/>
  <c r="C31" i="5"/>
  <c r="V16" i="2"/>
  <c r="S15" i="5" s="1"/>
  <c r="T15" i="5" s="1"/>
  <c r="C15" i="5"/>
  <c r="V20" i="2"/>
  <c r="S19" i="5" s="1"/>
  <c r="T19" i="5" s="1"/>
  <c r="C19" i="5"/>
  <c r="V29" i="2"/>
  <c r="S28" i="5" s="1"/>
  <c r="T28" i="5" s="1"/>
  <c r="C28" i="5"/>
  <c r="V9" i="2"/>
  <c r="S8" i="5" s="1"/>
  <c r="T8" i="5" s="1"/>
  <c r="C8" i="5"/>
  <c r="F8" i="5" s="1"/>
  <c r="I8" i="5" s="1"/>
  <c r="L8" i="5" s="1"/>
  <c r="O8" i="5" s="1"/>
  <c r="V13" i="2"/>
  <c r="S12" i="5" s="1"/>
  <c r="T12" i="5" s="1"/>
  <c r="C12" i="5"/>
  <c r="V17" i="2"/>
  <c r="S16" i="5" s="1"/>
  <c r="T16" i="5" s="1"/>
  <c r="C16" i="5"/>
  <c r="V21" i="2"/>
  <c r="S20" i="5" s="1"/>
  <c r="T20" i="5" s="1"/>
  <c r="C20" i="5"/>
  <c r="V25" i="2"/>
  <c r="S24" i="5" s="1"/>
  <c r="T24" i="5" s="1"/>
  <c r="C24" i="5"/>
  <c r="V30" i="2"/>
  <c r="S29" i="5" s="1"/>
  <c r="T29" i="5" s="1"/>
  <c r="C29" i="5"/>
  <c r="V14" i="2"/>
  <c r="S13" i="5" s="1"/>
  <c r="T13" i="5" s="1"/>
  <c r="C13" i="5"/>
  <c r="V26" i="2"/>
  <c r="S25" i="5" s="1"/>
  <c r="T25" i="5" s="1"/>
  <c r="C25" i="5"/>
  <c r="A27" i="2"/>
  <c r="B27" i="2"/>
  <c r="A31" i="2"/>
  <c r="A31" i="7" s="1"/>
  <c r="B31" i="2"/>
  <c r="A11" i="2"/>
  <c r="B11" i="2"/>
  <c r="A15" i="2"/>
  <c r="B15" i="2"/>
  <c r="A19" i="2"/>
  <c r="B19" i="2"/>
  <c r="A23" i="2"/>
  <c r="B23" i="2"/>
  <c r="A28" i="2"/>
  <c r="B28" i="2"/>
  <c r="A32" i="2"/>
  <c r="B32" i="2"/>
  <c r="A12" i="2"/>
  <c r="B12" i="2"/>
  <c r="A16" i="2"/>
  <c r="B16" i="2"/>
  <c r="A20" i="2"/>
  <c r="B20" i="2"/>
  <c r="A24" i="2"/>
  <c r="B24" i="2"/>
  <c r="A29" i="2"/>
  <c r="B29" i="2"/>
  <c r="A9" i="2"/>
  <c r="B9" i="2"/>
  <c r="A13" i="2"/>
  <c r="B13" i="2"/>
  <c r="A17" i="2"/>
  <c r="B17" i="2"/>
  <c r="A21" i="2"/>
  <c r="B21" i="2"/>
  <c r="A25" i="2"/>
  <c r="B25" i="2"/>
  <c r="A30" i="2"/>
  <c r="B30" i="2"/>
  <c r="A10" i="2"/>
  <c r="A10" i="7" s="1"/>
  <c r="B10" i="2"/>
  <c r="A14" i="2"/>
  <c r="B14" i="2"/>
  <c r="A18" i="2"/>
  <c r="A18" i="7" s="1"/>
  <c r="B18" i="2"/>
  <c r="A22" i="2"/>
  <c r="B22" i="2"/>
  <c r="A26" i="2"/>
  <c r="A26" i="7" s="1"/>
  <c r="B26" i="2"/>
  <c r="R11" i="2"/>
  <c r="B9" i="5" l="1"/>
  <c r="B10" i="7"/>
  <c r="B8" i="5"/>
  <c r="B9" i="7"/>
  <c r="B31" i="5"/>
  <c r="B32" i="7"/>
  <c r="B30" i="5"/>
  <c r="B31" i="7"/>
  <c r="A24" i="5"/>
  <c r="A25" i="7"/>
  <c r="A23" i="5"/>
  <c r="A24" i="7"/>
  <c r="R32" i="2"/>
  <c r="A32" i="7"/>
  <c r="B25" i="5"/>
  <c r="B26" i="7"/>
  <c r="B24" i="5"/>
  <c r="B25" i="7"/>
  <c r="B23" i="5"/>
  <c r="B24" i="7"/>
  <c r="B22" i="5"/>
  <c r="B23" i="7"/>
  <c r="A16" i="5"/>
  <c r="A17" i="7"/>
  <c r="A8" i="5"/>
  <c r="A9" i="7"/>
  <c r="A15" i="5"/>
  <c r="A16" i="7"/>
  <c r="A22" i="5"/>
  <c r="A23" i="7"/>
  <c r="A14" i="5"/>
  <c r="A15" i="7"/>
  <c r="B21" i="5"/>
  <c r="B22" i="7"/>
  <c r="B13" i="5"/>
  <c r="B14" i="7"/>
  <c r="B29" i="5"/>
  <c r="B30" i="7"/>
  <c r="B20" i="5"/>
  <c r="B21" i="7"/>
  <c r="B12" i="5"/>
  <c r="B13" i="7"/>
  <c r="B28" i="5"/>
  <c r="B29" i="7"/>
  <c r="B19" i="5"/>
  <c r="B20" i="7"/>
  <c r="B11" i="5"/>
  <c r="B12" i="7"/>
  <c r="B27" i="5"/>
  <c r="B28" i="7"/>
  <c r="B18" i="5"/>
  <c r="B19" i="7"/>
  <c r="B10" i="5"/>
  <c r="B11" i="7"/>
  <c r="B26" i="5"/>
  <c r="B27" i="7"/>
  <c r="B17" i="5"/>
  <c r="B18" i="7"/>
  <c r="B16" i="5"/>
  <c r="B17" i="7"/>
  <c r="B15" i="5"/>
  <c r="B16" i="7"/>
  <c r="B14" i="5"/>
  <c r="B15" i="7"/>
  <c r="A21" i="5"/>
  <c r="A22" i="7"/>
  <c r="A13" i="5"/>
  <c r="A14" i="7"/>
  <c r="A29" i="5"/>
  <c r="A30" i="7"/>
  <c r="A20" i="5"/>
  <c r="A21" i="7"/>
  <c r="A12" i="5"/>
  <c r="A13" i="7"/>
  <c r="A28" i="5"/>
  <c r="A29" i="7"/>
  <c r="A19" i="5"/>
  <c r="A20" i="7"/>
  <c r="A11" i="5"/>
  <c r="A12" i="7"/>
  <c r="A27" i="5"/>
  <c r="A28" i="7"/>
  <c r="A18" i="5"/>
  <c r="A19" i="7"/>
  <c r="A10" i="5"/>
  <c r="A11" i="7"/>
  <c r="A26" i="5"/>
  <c r="A27" i="7"/>
  <c r="R25" i="2"/>
  <c r="Q9" i="2"/>
  <c r="Q24" i="2"/>
  <c r="R17" i="2"/>
  <c r="Q16" i="2"/>
  <c r="Q15" i="2"/>
  <c r="Q23" i="2"/>
  <c r="Q21" i="2"/>
  <c r="Q29" i="2"/>
  <c r="Q20" i="2"/>
  <c r="R28" i="2"/>
  <c r="Q14" i="2"/>
  <c r="Q19" i="2"/>
  <c r="Q13" i="2"/>
  <c r="Q27" i="2"/>
  <c r="Q12" i="2"/>
  <c r="R23" i="2"/>
  <c r="Q22" i="2"/>
  <c r="R19" i="2"/>
  <c r="R13" i="2"/>
  <c r="R27" i="2"/>
  <c r="R20" i="2"/>
  <c r="R12" i="2"/>
  <c r="F25" i="5"/>
  <c r="I25" i="5" s="1"/>
  <c r="L25" i="5" s="1"/>
  <c r="O25" i="5" s="1"/>
  <c r="E25" i="5"/>
  <c r="H25" i="5" s="1"/>
  <c r="K25" i="5" s="1"/>
  <c r="N25" i="5" s="1"/>
  <c r="R25" i="5" s="1"/>
  <c r="D25" i="5"/>
  <c r="G25" i="5" s="1"/>
  <c r="J25" i="5" s="1"/>
  <c r="M25" i="5" s="1"/>
  <c r="F29" i="5"/>
  <c r="I29" i="5" s="1"/>
  <c r="L29" i="5" s="1"/>
  <c r="O29" i="5" s="1"/>
  <c r="E29" i="5"/>
  <c r="H29" i="5" s="1"/>
  <c r="K29" i="5" s="1"/>
  <c r="N29" i="5" s="1"/>
  <c r="R29" i="5" s="1"/>
  <c r="D29" i="5"/>
  <c r="G29" i="5" s="1"/>
  <c r="J29" i="5" s="1"/>
  <c r="M29" i="5" s="1"/>
  <c r="E20" i="5"/>
  <c r="H20" i="5" s="1"/>
  <c r="K20" i="5" s="1"/>
  <c r="N20" i="5" s="1"/>
  <c r="R20" i="5" s="1"/>
  <c r="D20" i="5"/>
  <c r="G20" i="5" s="1"/>
  <c r="J20" i="5" s="1"/>
  <c r="M20" i="5" s="1"/>
  <c r="F20" i="5"/>
  <c r="I20" i="5" s="1"/>
  <c r="L20" i="5" s="1"/>
  <c r="O20" i="5" s="1"/>
  <c r="F12" i="5"/>
  <c r="I12" i="5" s="1"/>
  <c r="L12" i="5" s="1"/>
  <c r="O12" i="5" s="1"/>
  <c r="E12" i="5"/>
  <c r="H12" i="5" s="1"/>
  <c r="K12" i="5" s="1"/>
  <c r="N12" i="5" s="1"/>
  <c r="R12" i="5" s="1"/>
  <c r="D12" i="5"/>
  <c r="G12" i="5" s="1"/>
  <c r="J12" i="5" s="1"/>
  <c r="M12" i="5" s="1"/>
  <c r="E28" i="5"/>
  <c r="H28" i="5" s="1"/>
  <c r="K28" i="5" s="1"/>
  <c r="N28" i="5" s="1"/>
  <c r="R28" i="5" s="1"/>
  <c r="F28" i="5"/>
  <c r="I28" i="5" s="1"/>
  <c r="L28" i="5" s="1"/>
  <c r="O28" i="5" s="1"/>
  <c r="D28" i="5"/>
  <c r="G28" i="5" s="1"/>
  <c r="J28" i="5" s="1"/>
  <c r="M28" i="5" s="1"/>
  <c r="E15" i="5"/>
  <c r="H15" i="5" s="1"/>
  <c r="K15" i="5" s="1"/>
  <c r="N15" i="5" s="1"/>
  <c r="R15" i="5" s="1"/>
  <c r="F15" i="5"/>
  <c r="I15" i="5" s="1"/>
  <c r="L15" i="5" s="1"/>
  <c r="O15" i="5" s="1"/>
  <c r="D15" i="5"/>
  <c r="G15" i="5" s="1"/>
  <c r="J15" i="5" s="1"/>
  <c r="M15" i="5" s="1"/>
  <c r="D27" i="5"/>
  <c r="G27" i="5" s="1"/>
  <c r="J27" i="5" s="1"/>
  <c r="M27" i="5" s="1"/>
  <c r="F27" i="5"/>
  <c r="I27" i="5" s="1"/>
  <c r="L27" i="5" s="1"/>
  <c r="O27" i="5" s="1"/>
  <c r="E27" i="5"/>
  <c r="H27" i="5" s="1"/>
  <c r="K27" i="5" s="1"/>
  <c r="N27" i="5" s="1"/>
  <c r="R27" i="5" s="1"/>
  <c r="E11" i="5"/>
  <c r="H11" i="5" s="1"/>
  <c r="K11" i="5" s="1"/>
  <c r="N11" i="5" s="1"/>
  <c r="R11" i="5" s="1"/>
  <c r="F11" i="5"/>
  <c r="I11" i="5" s="1"/>
  <c r="L11" i="5" s="1"/>
  <c r="O11" i="5" s="1"/>
  <c r="D11" i="5"/>
  <c r="G11" i="5" s="1"/>
  <c r="J11" i="5" s="1"/>
  <c r="M11" i="5" s="1"/>
  <c r="E18" i="5"/>
  <c r="H18" i="5" s="1"/>
  <c r="K18" i="5" s="1"/>
  <c r="N18" i="5" s="1"/>
  <c r="R18" i="5" s="1"/>
  <c r="F18" i="5"/>
  <c r="I18" i="5" s="1"/>
  <c r="L18" i="5" s="1"/>
  <c r="O18" i="5" s="1"/>
  <c r="D18" i="5"/>
  <c r="G18" i="5" s="1"/>
  <c r="J18" i="5" s="1"/>
  <c r="M18" i="5" s="1"/>
  <c r="E10" i="5"/>
  <c r="H10" i="5" s="1"/>
  <c r="K10" i="5" s="1"/>
  <c r="N10" i="5" s="1"/>
  <c r="R10" i="5" s="1"/>
  <c r="D10" i="5"/>
  <c r="G10" i="5" s="1"/>
  <c r="J10" i="5" s="1"/>
  <c r="M10" i="5" s="1"/>
  <c r="F10" i="5"/>
  <c r="I10" i="5" s="1"/>
  <c r="L10" i="5" s="1"/>
  <c r="O10" i="5" s="1"/>
  <c r="F26" i="5"/>
  <c r="I26" i="5" s="1"/>
  <c r="L26" i="5" s="1"/>
  <c r="O26" i="5" s="1"/>
  <c r="D26" i="5"/>
  <c r="G26" i="5" s="1"/>
  <c r="J26" i="5" s="1"/>
  <c r="M26" i="5" s="1"/>
  <c r="E26" i="5"/>
  <c r="H26" i="5" s="1"/>
  <c r="K26" i="5" s="1"/>
  <c r="N26" i="5" s="1"/>
  <c r="R26" i="5" s="1"/>
  <c r="F17" i="5"/>
  <c r="I17" i="5" s="1"/>
  <c r="L17" i="5" s="1"/>
  <c r="O17" i="5" s="1"/>
  <c r="E17" i="5"/>
  <c r="H17" i="5" s="1"/>
  <c r="K17" i="5" s="1"/>
  <c r="N17" i="5" s="1"/>
  <c r="R17" i="5" s="1"/>
  <c r="D17" i="5"/>
  <c r="G17" i="5" s="1"/>
  <c r="J17" i="5" s="1"/>
  <c r="M17" i="5" s="1"/>
  <c r="R26" i="2"/>
  <c r="A25" i="5"/>
  <c r="Q32" i="2"/>
  <c r="A31" i="5"/>
  <c r="R31" i="2"/>
  <c r="A30" i="5"/>
  <c r="R14" i="2"/>
  <c r="R21" i="2"/>
  <c r="R29" i="2"/>
  <c r="R22" i="2"/>
  <c r="Q30" i="2"/>
  <c r="R18" i="2"/>
  <c r="A17" i="5"/>
  <c r="R10" i="2"/>
  <c r="A9" i="5"/>
  <c r="Q18" i="2"/>
  <c r="R30" i="2"/>
  <c r="Q25" i="2"/>
  <c r="Q17" i="2"/>
  <c r="R9" i="2"/>
  <c r="R15" i="2"/>
  <c r="R24" i="2"/>
  <c r="R16" i="2"/>
  <c r="Q28" i="2"/>
  <c r="Q11" i="2"/>
  <c r="F13" i="5"/>
  <c r="I13" i="5" s="1"/>
  <c r="L13" i="5" s="1"/>
  <c r="O13" i="5" s="1"/>
  <c r="E13" i="5"/>
  <c r="H13" i="5" s="1"/>
  <c r="K13" i="5" s="1"/>
  <c r="N13" i="5" s="1"/>
  <c r="R13" i="5" s="1"/>
  <c r="D13" i="5"/>
  <c r="G13" i="5" s="1"/>
  <c r="J13" i="5" s="1"/>
  <c r="M13" i="5" s="1"/>
  <c r="E24" i="5"/>
  <c r="H24" i="5" s="1"/>
  <c r="K24" i="5" s="1"/>
  <c r="N24" i="5" s="1"/>
  <c r="R24" i="5" s="1"/>
  <c r="F24" i="5"/>
  <c r="I24" i="5" s="1"/>
  <c r="L24" i="5" s="1"/>
  <c r="O24" i="5" s="1"/>
  <c r="D24" i="5"/>
  <c r="G24" i="5" s="1"/>
  <c r="J24" i="5" s="1"/>
  <c r="M24" i="5" s="1"/>
  <c r="E16" i="5"/>
  <c r="H16" i="5" s="1"/>
  <c r="K16" i="5" s="1"/>
  <c r="N16" i="5" s="1"/>
  <c r="R16" i="5" s="1"/>
  <c r="F16" i="5"/>
  <c r="I16" i="5" s="1"/>
  <c r="L16" i="5" s="1"/>
  <c r="O16" i="5" s="1"/>
  <c r="D16" i="5"/>
  <c r="G16" i="5" s="1"/>
  <c r="J16" i="5" s="1"/>
  <c r="M16" i="5" s="1"/>
  <c r="D8" i="5"/>
  <c r="G8" i="5" s="1"/>
  <c r="J8" i="5" s="1"/>
  <c r="M8" i="5" s="1"/>
  <c r="E8" i="5"/>
  <c r="H8" i="5" s="1"/>
  <c r="K8" i="5" s="1"/>
  <c r="N8" i="5" s="1"/>
  <c r="R8" i="5" s="1"/>
  <c r="D19" i="5"/>
  <c r="G19" i="5" s="1"/>
  <c r="J19" i="5" s="1"/>
  <c r="M19" i="5" s="1"/>
  <c r="F19" i="5"/>
  <c r="I19" i="5" s="1"/>
  <c r="L19" i="5" s="1"/>
  <c r="O19" i="5" s="1"/>
  <c r="E19" i="5"/>
  <c r="H19" i="5" s="1"/>
  <c r="K19" i="5" s="1"/>
  <c r="N19" i="5" s="1"/>
  <c r="R19" i="5" s="1"/>
  <c r="D31" i="5"/>
  <c r="G31" i="5" s="1"/>
  <c r="J31" i="5" s="1"/>
  <c r="M31" i="5" s="1"/>
  <c r="F31" i="5"/>
  <c r="I31" i="5" s="1"/>
  <c r="L31" i="5" s="1"/>
  <c r="O31" i="5" s="1"/>
  <c r="E31" i="5"/>
  <c r="H31" i="5" s="1"/>
  <c r="K31" i="5" s="1"/>
  <c r="N31" i="5" s="1"/>
  <c r="R31" i="5" s="1"/>
  <c r="D23" i="5"/>
  <c r="G23" i="5" s="1"/>
  <c r="J23" i="5" s="1"/>
  <c r="M23" i="5" s="1"/>
  <c r="F23" i="5"/>
  <c r="I23" i="5" s="1"/>
  <c r="L23" i="5" s="1"/>
  <c r="O23" i="5" s="1"/>
  <c r="E23" i="5"/>
  <c r="H23" i="5" s="1"/>
  <c r="K23" i="5" s="1"/>
  <c r="N23" i="5" s="1"/>
  <c r="R23" i="5" s="1"/>
  <c r="E22" i="5"/>
  <c r="H22" i="5" s="1"/>
  <c r="K22" i="5" s="1"/>
  <c r="N22" i="5" s="1"/>
  <c r="R22" i="5" s="1"/>
  <c r="F22" i="5"/>
  <c r="I22" i="5" s="1"/>
  <c r="L22" i="5" s="1"/>
  <c r="O22" i="5" s="1"/>
  <c r="D22" i="5"/>
  <c r="G22" i="5" s="1"/>
  <c r="J22" i="5" s="1"/>
  <c r="M22" i="5" s="1"/>
  <c r="F14" i="5"/>
  <c r="I14" i="5" s="1"/>
  <c r="L14" i="5" s="1"/>
  <c r="O14" i="5" s="1"/>
  <c r="E14" i="5"/>
  <c r="H14" i="5" s="1"/>
  <c r="K14" i="5" s="1"/>
  <c r="N14" i="5" s="1"/>
  <c r="R14" i="5" s="1"/>
  <c r="D14" i="5"/>
  <c r="G14" i="5" s="1"/>
  <c r="J14" i="5" s="1"/>
  <c r="M14" i="5" s="1"/>
  <c r="E30" i="5"/>
  <c r="H30" i="5" s="1"/>
  <c r="K30" i="5" s="1"/>
  <c r="N30" i="5" s="1"/>
  <c r="R30" i="5" s="1"/>
  <c r="F30" i="5"/>
  <c r="I30" i="5" s="1"/>
  <c r="L30" i="5" s="1"/>
  <c r="O30" i="5" s="1"/>
  <c r="D30" i="5"/>
  <c r="G30" i="5" s="1"/>
  <c r="J30" i="5" s="1"/>
  <c r="M30" i="5" s="1"/>
  <c r="F21" i="5"/>
  <c r="I21" i="5" s="1"/>
  <c r="L21" i="5" s="1"/>
  <c r="O21" i="5" s="1"/>
  <c r="E21" i="5"/>
  <c r="H21" i="5" s="1"/>
  <c r="K21" i="5" s="1"/>
  <c r="N21" i="5" s="1"/>
  <c r="R21" i="5" s="1"/>
  <c r="D21" i="5"/>
  <c r="G21" i="5" s="1"/>
  <c r="J21" i="5" s="1"/>
  <c r="M21" i="5" s="1"/>
  <c r="F9" i="5"/>
  <c r="I9" i="5" s="1"/>
  <c r="L9" i="5" s="1"/>
  <c r="O9" i="5" s="1"/>
  <c r="E9" i="5"/>
  <c r="H9" i="5" s="1"/>
  <c r="K9" i="5" s="1"/>
  <c r="N9" i="5" s="1"/>
  <c r="R9" i="5" s="1"/>
  <c r="D9" i="5"/>
  <c r="G9" i="5" s="1"/>
  <c r="J9" i="5" s="1"/>
  <c r="M9" i="5" s="1"/>
  <c r="S32" i="2"/>
  <c r="Q26" i="2"/>
  <c r="Q10" i="2"/>
  <c r="Q31" i="2"/>
  <c r="Q21" i="5" l="1"/>
  <c r="P21" i="5"/>
  <c r="Q14" i="5"/>
  <c r="P14" i="5"/>
  <c r="Q23" i="5"/>
  <c r="P23" i="5"/>
  <c r="Q19" i="5"/>
  <c r="P19" i="5"/>
  <c r="Q8" i="5"/>
  <c r="P8" i="5"/>
  <c r="H29" i="1" s="1"/>
  <c r="Q24" i="5"/>
  <c r="P24" i="5"/>
  <c r="Q10" i="5"/>
  <c r="P10" i="5"/>
  <c r="Q18" i="5"/>
  <c r="P18" i="5"/>
  <c r="Q27" i="5"/>
  <c r="P27" i="5"/>
  <c r="Q28" i="5"/>
  <c r="P28" i="5"/>
  <c r="Q25" i="5"/>
  <c r="P25" i="5"/>
  <c r="I90" i="1"/>
  <c r="D90" i="1"/>
  <c r="C87" i="1"/>
  <c r="C88" i="1"/>
  <c r="F90" i="1"/>
  <c r="H87" i="1"/>
  <c r="H88" i="1"/>
  <c r="Q9" i="5"/>
  <c r="P9" i="5"/>
  <c r="Q30" i="5"/>
  <c r="P30" i="5"/>
  <c r="Q22" i="5"/>
  <c r="P22" i="5"/>
  <c r="Q31" i="5"/>
  <c r="P31" i="5"/>
  <c r="Q16" i="5"/>
  <c r="P16" i="5"/>
  <c r="Q13" i="5"/>
  <c r="P13" i="5"/>
  <c r="Q17" i="5"/>
  <c r="P17" i="5"/>
  <c r="Q26" i="5"/>
  <c r="P26" i="5"/>
  <c r="Q11" i="5"/>
  <c r="P11" i="5"/>
  <c r="Q15" i="5"/>
  <c r="P15" i="5"/>
  <c r="Q12" i="5"/>
  <c r="P12" i="5"/>
  <c r="Q20" i="5"/>
  <c r="P20" i="5"/>
  <c r="Q29" i="5"/>
  <c r="P29" i="5"/>
  <c r="B28" i="1"/>
  <c r="H28" i="1"/>
  <c r="F28" i="1" s="1"/>
  <c r="H74" i="1"/>
  <c r="H70" i="1"/>
  <c r="H64" i="1"/>
  <c r="H78" i="1"/>
  <c r="S28" i="2"/>
  <c r="S29" i="2"/>
  <c r="S27" i="2"/>
  <c r="S30" i="2"/>
  <c r="S22" i="2"/>
  <c r="S31" i="2"/>
  <c r="E13" i="1"/>
  <c r="E59" i="1" s="1"/>
  <c r="S19" i="2"/>
  <c r="S18" i="2"/>
  <c r="A10" i="1"/>
  <c r="A56" i="1" s="1"/>
  <c r="E10" i="1"/>
  <c r="E56" i="1" s="1"/>
  <c r="S10" i="2"/>
  <c r="H19" i="1"/>
  <c r="F19" i="1" s="1"/>
  <c r="S16" i="2"/>
  <c r="A13" i="1"/>
  <c r="A59" i="1" s="1"/>
  <c r="H20" i="1"/>
  <c r="F20" i="1" s="1"/>
  <c r="H18" i="1"/>
  <c r="F18" i="1" s="1"/>
  <c r="H24" i="1"/>
  <c r="F24" i="1" s="1"/>
  <c r="H23" i="1"/>
  <c r="F23" i="1" s="1"/>
  <c r="H22" i="1"/>
  <c r="F22" i="1" s="1"/>
  <c r="S13" i="2"/>
  <c r="S15" i="2"/>
  <c r="S20" i="2"/>
  <c r="S14" i="2"/>
  <c r="S17" i="2"/>
  <c r="S11" i="2"/>
  <c r="S25" i="2"/>
  <c r="S9" i="2"/>
  <c r="S23" i="2"/>
  <c r="S21" i="2"/>
  <c r="S24" i="2"/>
  <c r="S12" i="2"/>
  <c r="S26" i="2"/>
  <c r="H33" i="1" l="1"/>
  <c r="F33" i="1" s="1"/>
  <c r="H27" i="1"/>
  <c r="F27" i="1" s="1"/>
  <c r="H32" i="1"/>
  <c r="F32" i="1" s="1"/>
  <c r="H26" i="1"/>
  <c r="F26" i="1" s="1"/>
  <c r="F29" i="1"/>
  <c r="H25" i="1"/>
  <c r="F25" i="1" s="1"/>
</calcChain>
</file>

<file path=xl/sharedStrings.xml><?xml version="1.0" encoding="utf-8"?>
<sst xmlns="http://schemas.openxmlformats.org/spreadsheetml/2006/main" count="830" uniqueCount="504">
  <si>
    <t xml:space="preserve">  </t>
  </si>
  <si>
    <t>Student Progress Report</t>
  </si>
  <si>
    <t>Student Name</t>
  </si>
  <si>
    <t>Student ID</t>
  </si>
  <si>
    <t xml:space="preserve">Date of Birth </t>
  </si>
  <si>
    <t xml:space="preserve">Gender </t>
  </si>
  <si>
    <t xml:space="preserve">Grade </t>
  </si>
  <si>
    <t xml:space="preserve">Curriculum </t>
  </si>
  <si>
    <t xml:space="preserve">Subject </t>
  </si>
  <si>
    <t>Result</t>
  </si>
  <si>
    <t>Percentage Uniform Mark</t>
  </si>
  <si>
    <t>National</t>
  </si>
  <si>
    <t xml:space="preserve">Agama Kristen </t>
  </si>
  <si>
    <t xml:space="preserve">PKN </t>
  </si>
  <si>
    <t xml:space="preserve">Bahasa Indonesia </t>
  </si>
  <si>
    <t xml:space="preserve">Cambridge </t>
  </si>
  <si>
    <t>Mathematics</t>
  </si>
  <si>
    <t>Physics</t>
  </si>
  <si>
    <t>Business Studies</t>
  </si>
  <si>
    <t xml:space="preserve">Bukit Sion </t>
  </si>
  <si>
    <t xml:space="preserve">Intra-Curricular Activity </t>
  </si>
  <si>
    <t>Pendidikan Jasmani Olahraga</t>
  </si>
  <si>
    <t xml:space="preserve">Jakarta, </t>
  </si>
  <si>
    <t>Homeroom Teacher,</t>
  </si>
  <si>
    <t xml:space="preserve">Parent, </t>
  </si>
  <si>
    <t xml:space="preserve">Principal, </t>
  </si>
  <si>
    <t>Term 1</t>
  </si>
  <si>
    <t xml:space="preserve">NO </t>
  </si>
  <si>
    <t>STUDENT ID</t>
  </si>
  <si>
    <t>NAME</t>
  </si>
  <si>
    <t>SUBJECT</t>
  </si>
  <si>
    <t>PKN</t>
  </si>
  <si>
    <t>Agama</t>
  </si>
  <si>
    <t>B. Indo</t>
  </si>
  <si>
    <t>ICT</t>
  </si>
  <si>
    <t>ICA</t>
  </si>
  <si>
    <t>Chem</t>
  </si>
  <si>
    <t>Mand</t>
  </si>
  <si>
    <t>Student Progress Report Summary</t>
  </si>
  <si>
    <t>Grade</t>
  </si>
  <si>
    <t>PE</t>
  </si>
  <si>
    <t xml:space="preserve">ALENA PANNA </t>
  </si>
  <si>
    <t xml:space="preserve">ADELBERT REINHARD </t>
  </si>
  <si>
    <t xml:space="preserve">AMARANTA KENNISHIA </t>
  </si>
  <si>
    <t>ASHLEY ANDERSON</t>
  </si>
  <si>
    <t>ANDREW ANGGITO</t>
  </si>
  <si>
    <t xml:space="preserve">CHARISSA NINA </t>
  </si>
  <si>
    <t>AUDIE</t>
  </si>
  <si>
    <t xml:space="preserve">CHRISTIAN NATHANAEL </t>
  </si>
  <si>
    <t>CAREN DARMAWAN</t>
  </si>
  <si>
    <t xml:space="preserve">CHRISTIAN KEVIN </t>
  </si>
  <si>
    <t xml:space="preserve">AUDREY CALYSTA </t>
  </si>
  <si>
    <t>DEA ESTERINA</t>
  </si>
  <si>
    <t xml:space="preserve">CHRISTOPHER ELBERT </t>
  </si>
  <si>
    <t xml:space="preserve">DANIEL MARCELLO </t>
  </si>
  <si>
    <t xml:space="preserve">BRYAN SURYADJAYA </t>
  </si>
  <si>
    <t>JAMISON WIJAYA</t>
  </si>
  <si>
    <t>CHRISTY OLIVIA</t>
  </si>
  <si>
    <t>DARLENE HUO</t>
  </si>
  <si>
    <t xml:space="preserve">CAROLINE SANTOSO </t>
  </si>
  <si>
    <t>JANETTE SUPANGAT</t>
  </si>
  <si>
    <t>CLAUDIA LAVINA</t>
  </si>
  <si>
    <t>EUGENE JEREMY</t>
  </si>
  <si>
    <t xml:space="preserve">CHARLOTTE VALESKA </t>
  </si>
  <si>
    <t>JEISEN ZEFANYA</t>
  </si>
  <si>
    <t xml:space="preserve">DONI ANTONIO </t>
  </si>
  <si>
    <t>FIDELIA MATHEA</t>
  </si>
  <si>
    <t xml:space="preserve">CHRISTOPHE ANDRE </t>
  </si>
  <si>
    <t xml:space="preserve">JENNISE PATRICIA </t>
  </si>
  <si>
    <t>FILBERT MATHIAS</t>
  </si>
  <si>
    <t xml:space="preserve">GIOVANNA BRENDA </t>
  </si>
  <si>
    <t xml:space="preserve">CLARENCE RIONA </t>
  </si>
  <si>
    <t>JOSE JUAN SUSANTO</t>
  </si>
  <si>
    <t>GEMILANG FRIYAN</t>
  </si>
  <si>
    <t xml:space="preserve">ISHAK ZERAH </t>
  </si>
  <si>
    <t xml:space="preserve">COLLIN DIMAS </t>
  </si>
  <si>
    <t>JOSEPHINE WIDJAJA</t>
  </si>
  <si>
    <t>JEVINT FELIXCIANO</t>
  </si>
  <si>
    <t>JENNIFER ALESSANDRA</t>
  </si>
  <si>
    <t xml:space="preserve">CRYSTALIA REDEMPTA </t>
  </si>
  <si>
    <t>JOVANNZIO LYSANDER</t>
  </si>
  <si>
    <t xml:space="preserve">JONATHAN KENNETH </t>
  </si>
  <si>
    <t xml:space="preserve">JESLYN REIA </t>
  </si>
  <si>
    <t>FARRELL KEVIN GARDJITO</t>
  </si>
  <si>
    <t>KATHLEEN ISABELLA</t>
  </si>
  <si>
    <t>JENNIFER</t>
  </si>
  <si>
    <t>JESSLYN YOVELA</t>
  </si>
  <si>
    <t xml:space="preserve">IMMANUEL NAVE </t>
  </si>
  <si>
    <t>KATHRYN CAHYADI</t>
  </si>
  <si>
    <t>KAYLIE JEDIDIAH</t>
  </si>
  <si>
    <t xml:space="preserve">JOSEPHINE GISELLE </t>
  </si>
  <si>
    <t>JENNIFER TEDRIC</t>
  </si>
  <si>
    <t>KENDREW KYNE</t>
  </si>
  <si>
    <t>KIARA DJUMALI</t>
  </si>
  <si>
    <t>JUAN NATHAN</t>
  </si>
  <si>
    <t>JULIUS GERALD PHO</t>
  </si>
  <si>
    <t xml:space="preserve">KEVIN CHESTER </t>
  </si>
  <si>
    <t>MICHELLE FIDELIA</t>
  </si>
  <si>
    <t>KIRSTEN JEDIDIAH</t>
  </si>
  <si>
    <t>KEVIN TANDIAN</t>
  </si>
  <si>
    <t>KYRA RISANTI RUSLY</t>
  </si>
  <si>
    <t>NATHANAEL RICHARD</t>
  </si>
  <si>
    <t>MATTHEW ASYER</t>
  </si>
  <si>
    <t>NATALIA</t>
  </si>
  <si>
    <t xml:space="preserve">LOUIS VELASCO </t>
  </si>
  <si>
    <t xml:space="preserve">PATRICK WILLIAM </t>
  </si>
  <si>
    <t>MATTHEW NICANOR</t>
  </si>
  <si>
    <t>NATHANAEL NOBELIUS</t>
  </si>
  <si>
    <t>MATTHEW BUDHI</t>
  </si>
  <si>
    <t xml:space="preserve">SHARON DOVIKO </t>
  </si>
  <si>
    <t>MAXIMILIAN</t>
  </si>
  <si>
    <t>NATHASIA ARDELIA</t>
  </si>
  <si>
    <t>NATHAN WIDJAJA</t>
  </si>
  <si>
    <t xml:space="preserve">STEFAN KINAI </t>
  </si>
  <si>
    <t xml:space="preserve">NATASHA GAVRILA </t>
  </si>
  <si>
    <t xml:space="preserve">NICHOLAS HAMMET </t>
  </si>
  <si>
    <t xml:space="preserve">NICOLA FARRELL </t>
  </si>
  <si>
    <t xml:space="preserve">THERESIA AUDREY </t>
  </si>
  <si>
    <t>RAINER DYLAN ELIAS</t>
  </si>
  <si>
    <t xml:space="preserve">NICOLE VENA </t>
  </si>
  <si>
    <t xml:space="preserve">THESHIA VERONICA </t>
  </si>
  <si>
    <t>STEPHEN</t>
  </si>
  <si>
    <t>REINO JOSEPH SETYAWAN</t>
  </si>
  <si>
    <t>RICHARD TRIHADI</t>
  </si>
  <si>
    <t>WILLIAM NOVENIX</t>
  </si>
  <si>
    <t xml:space="preserve">STEPHEN CHRISTIAN </t>
  </si>
  <si>
    <t xml:space="preserve">WILLIAM EZRA </t>
  </si>
  <si>
    <t>SHERINE HANS JOCELYNE</t>
  </si>
  <si>
    <t xml:space="preserve">WILSON EKAPUTRA </t>
  </si>
  <si>
    <t xml:space="preserve">VANIA FELISHA </t>
  </si>
  <si>
    <t xml:space="preserve">WILLIAM NATHANAEL </t>
  </si>
  <si>
    <t xml:space="preserve">SOVIOLA GRACIA </t>
  </si>
  <si>
    <t>SUGIANSYAH</t>
  </si>
  <si>
    <t>AUSTIN BENNEDICT</t>
  </si>
  <si>
    <t>ALICIA HERDIMAN</t>
  </si>
  <si>
    <t>ALESSANDRO RAPHAEL WIRAWAN</t>
  </si>
  <si>
    <t>AIDAN MATTHEUS</t>
  </si>
  <si>
    <t>BERTRAND KEVIN</t>
  </si>
  <si>
    <t>ANGELIA HARTANTO TENG</t>
  </si>
  <si>
    <t>ANGIE HARDJONO</t>
  </si>
  <si>
    <t>ALFEUS XIESI DELROY</t>
  </si>
  <si>
    <t>CHERYL WENDELIN</t>
  </si>
  <si>
    <t>ARLEEN TANUWIDJAJA</t>
  </si>
  <si>
    <t>BRIAN THIO</t>
  </si>
  <si>
    <t>ANDREW THOMAS AGUSTINUS</t>
  </si>
  <si>
    <t>CHRIST RAY RUBEN ABNER</t>
  </si>
  <si>
    <t>AUDI LUKITA</t>
  </si>
  <si>
    <t>CHELSEA ARIELLE SETIAWAN</t>
  </si>
  <si>
    <t>ANGELIQUE SONIA HADI SURYA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</si>
  <si>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</si>
  <si>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</si>
  <si>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</si>
  <si>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</si>
  <si>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</si>
  <si>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</si>
  <si>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</si>
  <si>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DARREN DARMAWAN</t>
  </si>
  <si>
    <t>DEVINA HAPSARI</t>
  </si>
  <si>
    <t>DHEA AMANDA PUTRI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</si>
  <si>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</si>
  <si>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</si>
  <si>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</si>
  <si>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</si>
  <si>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</si>
  <si>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</si>
  <si>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FELICHIA HUANG ALVIRA</t>
  </si>
  <si>
    <t>GLORIA JOYANNE</t>
  </si>
  <si>
    <t>GRESIA</t>
  </si>
  <si>
    <t>GLORIA MIRACLE MELODY IMANUEL</t>
  </si>
  <si>
    <t>GIACINTA AMARYLLIS CRYSTAL</t>
  </si>
  <si>
    <t>I DEWA GEDE ANDREANO ELDO</t>
  </si>
  <si>
    <t>JEFFERSON HARIMAUWAN</t>
  </si>
  <si>
    <t>JASON WIDJAJA NOORLI</t>
  </si>
  <si>
    <t>JONATHAN SUHALIM</t>
  </si>
  <si>
    <t>JASON LOUIS LAKSONO</t>
  </si>
  <si>
    <t>JEREMIAH SUNNAWA SINGGIH</t>
  </si>
  <si>
    <t>JOHAN SEBASTIAN</t>
  </si>
  <si>
    <t>JOSEPH NICOLAS CHANG</t>
  </si>
  <si>
    <t>JESSIE CHRISTABEL BUDIMAN</t>
  </si>
  <si>
    <t>JONATHAN ALEXANDER KRISANTO</t>
  </si>
  <si>
    <t>KEVIN ALEXANDER JOSA SUDARMONO</t>
  </si>
  <si>
    <t>KARINA TANDIAN</t>
  </si>
  <si>
    <t>JOSEPH ADRIAN</t>
  </si>
  <si>
    <t>JONATHAN GERALDO LIENIER</t>
  </si>
  <si>
    <t>MADELEINE EDWINA ADISUBRATA</t>
  </si>
  <si>
    <t>KATHRINE</t>
  </si>
  <si>
    <t>JUSTIN HADINATA</t>
  </si>
  <si>
    <t>KENNETH MATTHEW GOMULIA</t>
  </si>
  <si>
    <t>MARIA MARCELLA CHASPURI</t>
  </si>
  <si>
    <t>MARTIN EMMANUEL CHANG</t>
  </si>
  <si>
    <t>KENNETH RYO KURNIAWAN</t>
  </si>
  <si>
    <t>KIM SAMANTHA ATMADJAJA</t>
  </si>
  <si>
    <t>MARKEY PILI SANTOSO</t>
  </si>
  <si>
    <t>MATTHEW AURELIO LUCKY</t>
  </si>
  <si>
    <t>KEZIA WINATA</t>
  </si>
  <si>
    <t>MICHAEL EFFENDY</t>
  </si>
  <si>
    <t>MARVELIO CHANDRA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</si>
  <si>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</si>
  <si>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</si>
  <si>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</si>
  <si>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</si>
  <si>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</si>
  <si>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</si>
  <si>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</si>
  <si>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NICOLE STACIA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</si>
  <si>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</si>
  <si>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</si>
  <si>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</si>
  <si>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</si>
  <si>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</si>
  <si>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</si>
  <si>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RACHEL LIVIA WITONO</t>
  </si>
  <si>
    <t>RYAN CHANDRA</t>
  </si>
  <si>
    <t>RYAN TANDIONO</t>
  </si>
  <si>
    <t>SARAH ANDIEN SUJANTO</t>
  </si>
  <si>
    <t>ROCHELLE AVRIL LORDANO</t>
  </si>
  <si>
    <t>TIMOTHY ODELIO PRIBADI</t>
  </si>
  <si>
    <t>VALLERIE AUDREYANKA YAPUTRA</t>
  </si>
  <si>
    <t>SERGIO TRISON LIE</t>
  </si>
  <si>
    <t>SUBASH RAJ GANESAN</t>
  </si>
  <si>
    <t>VINCENTIA KIARA SUYANTO</t>
  </si>
  <si>
    <t>YEREMIA BUDI KURNIAWAN</t>
  </si>
  <si>
    <t>THESSALONICA RUTH MEIRIANE ZIPORA</t>
  </si>
  <si>
    <t>TASHANNIE ABIGAIL LOEKMAN</t>
  </si>
  <si>
    <t>YOSIA ANUGRAH SANTOSO</t>
  </si>
  <si>
    <t>TIMOTHY JOSHUA ISKANDAR</t>
  </si>
  <si>
    <t>BUKIT SION MIDDLE SCHOOL - STUDENT ID NUMBER</t>
  </si>
  <si>
    <t>BUKIT SION MIDDLE SCHOOL - STUDENT NAME</t>
  </si>
  <si>
    <t>BUKIT SION MIDDLE SCHOOL - GENDER</t>
  </si>
  <si>
    <t>BUKIT SION MIDDLE SCHOOL - DATE OF BIRTH</t>
  </si>
  <si>
    <t>NO</t>
  </si>
  <si>
    <t xml:space="preserve">NAME </t>
  </si>
  <si>
    <t>GENDER</t>
  </si>
  <si>
    <t xml:space="preserve">DATE OF BIRTH </t>
  </si>
  <si>
    <t>Grd :</t>
  </si>
  <si>
    <t>STUDENT DATA GRADE 8</t>
  </si>
  <si>
    <t>STUDENT DATA GRADE 9</t>
  </si>
  <si>
    <t>AVERAGE</t>
  </si>
  <si>
    <t xml:space="preserve">TOTAL </t>
  </si>
  <si>
    <t>AVG</t>
  </si>
  <si>
    <t>RANK</t>
  </si>
  <si>
    <t>Biology</t>
  </si>
  <si>
    <t>Business</t>
  </si>
  <si>
    <t>MAXIMUM SCORE</t>
  </si>
  <si>
    <t>MINIMUM SCORE</t>
  </si>
  <si>
    <t>Homeroom Teacher</t>
  </si>
  <si>
    <t>Chemistry</t>
  </si>
  <si>
    <t>MAND</t>
  </si>
  <si>
    <t>REFAYA ALODYA</t>
  </si>
  <si>
    <t>KIM YUN A</t>
  </si>
  <si>
    <t>BUKIT SION MIDDLE SCHOOL - MANDARIN</t>
  </si>
  <si>
    <t>Student Progress Report Summary (Formula)</t>
  </si>
  <si>
    <t>M/F</t>
  </si>
  <si>
    <t>DATE OF  BIRTH</t>
  </si>
  <si>
    <t>GRADE</t>
  </si>
  <si>
    <t>NOTE</t>
  </si>
  <si>
    <t>%</t>
  </si>
  <si>
    <t>GRADE :</t>
  </si>
  <si>
    <t>TERM :</t>
  </si>
  <si>
    <t xml:space="preserve">YEAR : </t>
  </si>
  <si>
    <t xml:space="preserve">Year </t>
  </si>
  <si>
    <t>2017 / 2018</t>
  </si>
  <si>
    <t>Year</t>
  </si>
  <si>
    <t>Term 2</t>
  </si>
  <si>
    <t xml:space="preserve">DATE : </t>
  </si>
  <si>
    <t>B</t>
  </si>
  <si>
    <t>Student Behavior Report</t>
  </si>
  <si>
    <t xml:space="preserve">Behavior </t>
  </si>
  <si>
    <t xml:space="preserve">Detail </t>
  </si>
  <si>
    <t>Arrive at school on time</t>
  </si>
  <si>
    <t>Bring all learning materials needed</t>
  </si>
  <si>
    <t>Follow the class schedule</t>
  </si>
  <si>
    <t>Wear school uniform in accordance to guidelines</t>
  </si>
  <si>
    <t>Responsibility</t>
  </si>
  <si>
    <t xml:space="preserve">Proper Attitude </t>
  </si>
  <si>
    <t>Respect teaches, classmates and others</t>
  </si>
  <si>
    <t xml:space="preserve">Collaboration </t>
  </si>
  <si>
    <t xml:space="preserve">Show enthusiasm and participate actively in </t>
  </si>
  <si>
    <t xml:space="preserve">disccusion </t>
  </si>
  <si>
    <t xml:space="preserve">Contribute by sharing ideas, disagreement or </t>
  </si>
  <si>
    <t xml:space="preserve">agreement </t>
  </si>
  <si>
    <t xml:space="preserve">Mark </t>
  </si>
  <si>
    <t>a.</t>
  </si>
  <si>
    <t>b.</t>
  </si>
  <si>
    <t>c.</t>
  </si>
  <si>
    <t>d.</t>
  </si>
  <si>
    <t xml:space="preserve">c. </t>
  </si>
  <si>
    <t xml:space="preserve">Follow instruction or guidelines given </t>
  </si>
  <si>
    <t xml:space="preserve">Complete all tasks given </t>
  </si>
  <si>
    <t>Accept the final decision made together</t>
  </si>
  <si>
    <t>Discipline</t>
  </si>
  <si>
    <t>Mark</t>
  </si>
  <si>
    <t xml:space="preserve">Extracurricular Activity : </t>
  </si>
  <si>
    <t xml:space="preserve">Mark : </t>
  </si>
  <si>
    <t xml:space="preserve">Ill : </t>
  </si>
  <si>
    <t xml:space="preserve">Absence (day) </t>
  </si>
  <si>
    <t>Consent :</t>
  </si>
  <si>
    <t>Unknown :</t>
  </si>
  <si>
    <t>BEHAVIOUR</t>
  </si>
  <si>
    <t>Collaboration</t>
  </si>
  <si>
    <t>Extracurricular</t>
  </si>
  <si>
    <t>Ill</t>
  </si>
  <si>
    <t>Consent</t>
  </si>
  <si>
    <t>Unknown</t>
  </si>
  <si>
    <t>Student Behavior Report Summary</t>
  </si>
  <si>
    <t xml:space="preserve">English First Language </t>
  </si>
  <si>
    <t xml:space="preserve">BUKIT SION HIGH SCHOOL </t>
  </si>
  <si>
    <t>STUDENT DATA GRADE 10</t>
  </si>
  <si>
    <t>Radot Jefri S.O.H., S.T.</t>
  </si>
  <si>
    <t>Dra. Noertini Effendi</t>
  </si>
  <si>
    <t>Albertinus Barus, S.T.</t>
  </si>
  <si>
    <t>Arman Villamor, CE.</t>
  </si>
  <si>
    <t>ANDREW HARDJONO</t>
  </si>
  <si>
    <t>BENEDICT WIJAYA</t>
  </si>
  <si>
    <t>FLORENTINA SUGIANTO</t>
  </si>
  <si>
    <t>GRACE SANTOSA</t>
  </si>
  <si>
    <t>HANS SAMUEL</t>
  </si>
  <si>
    <t>JEFFA  DARREN MYRON</t>
  </si>
  <si>
    <t>JEREMY JECONIAH</t>
  </si>
  <si>
    <t>JOCELYN IVANA</t>
  </si>
  <si>
    <t>KEZIA CHRISTABELA LAKSONO</t>
  </si>
  <si>
    <t>NADIA</t>
  </si>
  <si>
    <t>NATHANIA BERNICE</t>
  </si>
  <si>
    <t>SALYVANA KRISANTO</t>
  </si>
  <si>
    <t>SAMUEL AGUSTO</t>
  </si>
  <si>
    <t>SHANIKA IVERNA TAMARA</t>
  </si>
  <si>
    <t>TIMOTHY FARREL TJONDROJO</t>
  </si>
  <si>
    <t>YASMIN ANGGRAINI TEGUH</t>
  </si>
  <si>
    <t>ANDREA VANIA</t>
  </si>
  <si>
    <t>ANGELICA ANDREA</t>
  </si>
  <si>
    <t>CELINE AYU</t>
  </si>
  <si>
    <t>DANIEL JUSTIN</t>
  </si>
  <si>
    <t>MAUREEN CHRISTIANA</t>
  </si>
  <si>
    <t>MELVIN FERNANDO</t>
  </si>
  <si>
    <t>NATHANIEL</t>
  </si>
  <si>
    <t>VANESSA MAE</t>
  </si>
  <si>
    <t>VALENT CHRISTIAN</t>
  </si>
  <si>
    <t>VICTORIA VALERIE</t>
  </si>
  <si>
    <t>ALEXANDER RAFUDI</t>
  </si>
  <si>
    <t>ANDRE TEDRIC</t>
  </si>
  <si>
    <t>AXEL AMADEUS</t>
  </si>
  <si>
    <t>DEVIN TIMOTHY</t>
  </si>
  <si>
    <t>FELISHA VINAYA IRAWAN</t>
  </si>
  <si>
    <t>HIMAYA LIN</t>
  </si>
  <si>
    <t>JOELLE ALEZA</t>
  </si>
  <si>
    <t>JOSH MATTHEW</t>
  </si>
  <si>
    <t>KU SAN</t>
  </si>
  <si>
    <t>LABITTA ABIWARDANI</t>
  </si>
  <si>
    <t>MADELINE DASUKI</t>
  </si>
  <si>
    <t>MELINDA MARCYOLA</t>
  </si>
  <si>
    <t>MONICA VALENTINA TASMIN</t>
  </si>
  <si>
    <t>NATHANAEL BUDHI</t>
  </si>
  <si>
    <t>NICHOLAS DAVIN GODJALI</t>
  </si>
  <si>
    <t>SAMUEL YORI</t>
  </si>
  <si>
    <t>SEBASTIAN HUGO</t>
  </si>
  <si>
    <t>ALEXANDER JONATHAN K</t>
  </si>
  <si>
    <t>ALFONADI SUTEDJA</t>
  </si>
  <si>
    <t>ANASTASYA AUDREY W</t>
  </si>
  <si>
    <t>ASHLEY EUGENEA C</t>
  </si>
  <si>
    <t>CATHERINA C</t>
  </si>
  <si>
    <t>CHRISTOPHER CONAN K.</t>
  </si>
  <si>
    <t>CLARISSA NAGA WIJAYA</t>
  </si>
  <si>
    <t>DAPHNE W</t>
  </si>
  <si>
    <t>DARREL SANJAYA</t>
  </si>
  <si>
    <t>DAVINA RENATA L</t>
  </si>
  <si>
    <t>DYANTHA HENDRANATA PUTRI</t>
  </si>
  <si>
    <t>DYLAN GIVEN</t>
  </si>
  <si>
    <t>FLORINE</t>
  </si>
  <si>
    <t>JOANNA CAROLINE C</t>
  </si>
  <si>
    <t>JONATHAN DAVIDSON</t>
  </si>
  <si>
    <t>JONATHAN LIE</t>
  </si>
  <si>
    <t>KELVIN JO</t>
  </si>
  <si>
    <t>MARCELINUS GEORGIO</t>
  </si>
  <si>
    <t>MATTHEW REYNALDI J</t>
  </si>
  <si>
    <t>N. JASON L</t>
  </si>
  <si>
    <t xml:space="preserve">STEVEN CHRISTIAN </t>
  </si>
  <si>
    <t>BUKIT SION HIGH SCHOOL</t>
  </si>
  <si>
    <t>Agustinus Siahaan, S.Si.</t>
  </si>
  <si>
    <t>English</t>
  </si>
  <si>
    <t>Math</t>
  </si>
  <si>
    <t>Information and Communications Technology</t>
  </si>
  <si>
    <t xml:space="preserve">Be courteous towards everyone you meet </t>
  </si>
  <si>
    <t>590/0018211428</t>
  </si>
  <si>
    <t>M</t>
  </si>
  <si>
    <t>594/0024014816</t>
  </si>
  <si>
    <t>608/0023094497</t>
  </si>
  <si>
    <t>F</t>
  </si>
  <si>
    <t>611/0026911212</t>
  </si>
  <si>
    <t>613/0025273792</t>
  </si>
  <si>
    <t>618/0025273776</t>
  </si>
  <si>
    <t>619/0016751062</t>
  </si>
  <si>
    <t>622/0020653207</t>
  </si>
  <si>
    <t>JOSHUA IMMANUEL ROCHILLI</t>
  </si>
  <si>
    <t>627/0023094483</t>
  </si>
  <si>
    <t>629/0023094214</t>
  </si>
  <si>
    <t>MATTHEW CLERENCE LIEGO</t>
  </si>
  <si>
    <t>635/0023094459</t>
  </si>
  <si>
    <t>MICHAEL ANTONIO BOENTORO</t>
  </si>
  <si>
    <t>641/0023094455</t>
  </si>
  <si>
    <t>644/0025273819</t>
  </si>
  <si>
    <t>646/0023094503</t>
  </si>
  <si>
    <t>650/0016158284</t>
  </si>
  <si>
    <t>651/0016055018</t>
  </si>
  <si>
    <t>654/0023094448</t>
  </si>
  <si>
    <t>TASHA LAURETTA</t>
  </si>
  <si>
    <t>657/0020750427</t>
  </si>
  <si>
    <t>658/0023879050</t>
  </si>
  <si>
    <t>663/0024195587</t>
  </si>
  <si>
    <t>589/0024985666</t>
  </si>
  <si>
    <t>GERALDINE AMANDA TJIPUTRA</t>
  </si>
  <si>
    <t>HANSEN SURANTO</t>
  </si>
  <si>
    <t>IRWIN MATTHEW SUGIH</t>
  </si>
  <si>
    <t>IVAN ANDREW GUNAWAN</t>
  </si>
  <si>
    <t>JOAN NATASHA HERMAWAN</t>
  </si>
  <si>
    <t>LEONARDO WYNN WIDODO</t>
  </si>
  <si>
    <t>MATTHEW NATHANAEL CHANDRA</t>
  </si>
  <si>
    <t>PUTERI KIRANA WIBAWA</t>
  </si>
  <si>
    <t>STEPHEN EMMANUEL GOENARSO</t>
  </si>
  <si>
    <t>WILLIAM SURYA DJAYA SAPUTRO</t>
  </si>
  <si>
    <t>591/0024396143</t>
  </si>
  <si>
    <t>597/0020750418</t>
  </si>
  <si>
    <t>600/0023094495</t>
  </si>
  <si>
    <t>610/0024195614</t>
  </si>
  <si>
    <t>614/0025319234</t>
  </si>
  <si>
    <t>616/0023094501</t>
  </si>
  <si>
    <t>617/0023094440</t>
  </si>
  <si>
    <t>620/0023094485</t>
  </si>
  <si>
    <t>632/0020750430</t>
  </si>
  <si>
    <t>636/0024573915</t>
  </si>
  <si>
    <t>640/0020390099</t>
  </si>
  <si>
    <t>18 December 2001</t>
  </si>
  <si>
    <t>27 March 2002</t>
  </si>
  <si>
    <t>11 November 2002</t>
  </si>
  <si>
    <t>31 May 2002</t>
  </si>
  <si>
    <t>26 March 2002</t>
  </si>
  <si>
    <t>18 January 2002</t>
  </si>
  <si>
    <t>22 October 2001</t>
  </si>
  <si>
    <t>14 September 2002</t>
  </si>
  <si>
    <t>14 August 2002</t>
  </si>
  <si>
    <t>3 February 2002</t>
  </si>
  <si>
    <t>7 May 2002</t>
  </si>
  <si>
    <t>25 April 2002</t>
  </si>
  <si>
    <t>18 June 2002</t>
  </si>
  <si>
    <t>16 December 2002</t>
  </si>
  <si>
    <t>2 December 2001</t>
  </si>
  <si>
    <t>26 February 2001</t>
  </si>
  <si>
    <t>3 March 2003</t>
  </si>
  <si>
    <t>24 June 2002</t>
  </si>
  <si>
    <t>30 May 2002</t>
  </si>
  <si>
    <t>4 February 2002</t>
  </si>
  <si>
    <t>1 January 2002</t>
  </si>
  <si>
    <t>12 April 2002</t>
  </si>
  <si>
    <t>3 November 2002</t>
  </si>
  <si>
    <t>1 June 2002</t>
  </si>
  <si>
    <t>10 March 2002</t>
  </si>
  <si>
    <t>1 December 2002</t>
  </si>
  <si>
    <t>4 Februari 2002</t>
  </si>
  <si>
    <t>28 August 2002</t>
  </si>
  <si>
    <t>24 July 2002</t>
  </si>
  <si>
    <t>6 May 2002</t>
  </si>
  <si>
    <t>12 December 2001</t>
  </si>
  <si>
    <t>3 April 2002</t>
  </si>
  <si>
    <t>647/0027801582</t>
  </si>
  <si>
    <t>4 September 2002</t>
  </si>
  <si>
    <t>649/0022395199</t>
  </si>
  <si>
    <t>3 September 2002</t>
  </si>
  <si>
    <t>638/0012144469</t>
  </si>
  <si>
    <t>655/0023094470</t>
  </si>
  <si>
    <t>27 June 2002</t>
  </si>
  <si>
    <t>660/0023094447</t>
  </si>
  <si>
    <t>25 February 2002</t>
  </si>
  <si>
    <t>659/0020750426</t>
  </si>
  <si>
    <t>661/0028475590</t>
  </si>
  <si>
    <t>1 Feburary 2002</t>
  </si>
  <si>
    <t>662/0023094435</t>
  </si>
  <si>
    <t>2 January 2002</t>
  </si>
  <si>
    <t>ANDREA ESTER BANGUN</t>
  </si>
  <si>
    <t>584/0022395210</t>
  </si>
  <si>
    <t>BRYAN DENIANTO</t>
  </si>
  <si>
    <t>587/0023094492</t>
  </si>
  <si>
    <t>28 December 2001</t>
  </si>
  <si>
    <t>12 October 2002</t>
  </si>
  <si>
    <t>588/0022113021</t>
  </si>
  <si>
    <t>17 June 2002</t>
  </si>
  <si>
    <t>593/0023094488</t>
  </si>
  <si>
    <t>19 September 2002</t>
  </si>
  <si>
    <t>595/0017759175</t>
  </si>
  <si>
    <t>604/0023094476</t>
  </si>
  <si>
    <t>26 July 2002</t>
  </si>
  <si>
    <t>607/0024014851</t>
  </si>
  <si>
    <t>22 July 2002</t>
  </si>
  <si>
    <t>612/0024380413</t>
  </si>
  <si>
    <t>26 October 2002</t>
  </si>
  <si>
    <t>HANS FARREL SOEGENG</t>
  </si>
  <si>
    <t>615/0023094439</t>
  </si>
  <si>
    <t>623/0026911265</t>
  </si>
  <si>
    <t>15 September 2002</t>
  </si>
  <si>
    <t>626/0020229292</t>
  </si>
  <si>
    <t>12 September 2002</t>
  </si>
  <si>
    <t>630/0010126340</t>
  </si>
  <si>
    <t>18 January 2001</t>
  </si>
  <si>
    <t>631/0021896926</t>
  </si>
  <si>
    <t>633/0023094478</t>
  </si>
  <si>
    <t>639/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</si>
</sst>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Times New Roman"/>
      <family val="1"/>
    </font>
    <font>
      <b/>
      <sz val="2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40"/>
      <color theme="1"/>
      <name val="Calibri"/>
      <family val="2"/>
      <scheme val="minor"/>
    </font>
    <font>
      <i/>
      <sz val="11"/>
      <color theme="1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-0.499984740745262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/>
    <xf numFmtId="0" fontId="1" fillId="0" borderId="0" xfId="0" applyFont="1"/>
    <xf numFmtId="0" fontId="4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horizontal="center"/>
    </xf>
    <xf numFmtId="0" fontId="7" fillId="0" borderId="4" xfId="0" quotePrefix="1" applyFont="1" applyFill="1" applyBorder="1" applyAlignment="1">
      <alignment horizontal="left" vertical="center"/>
    </xf>
    <xf numFmtId="0" fontId="7" fillId="0" borderId="3" xfId="0" quotePrefix="1" applyFont="1" applyFill="1" applyBorder="1" applyAlignment="1">
      <alignment horizontal="left" vertical="center"/>
    </xf>
    <xf numFmtId="0" fontId="9" fillId="0" borderId="3" xfId="0" quotePrefix="1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1" fillId="2" borderId="3" xfId="0" applyFont="1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11" fillId="5" borderId="3" xfId="0" applyFont="1" applyFill="1" applyBorder="1" applyAlignment="1">
      <alignment horizontal="center"/>
    </xf>
    <xf numFmtId="0" fontId="10" fillId="7" borderId="3" xfId="0" applyFont="1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49" fontId="0" fillId="0" borderId="3" xfId="0" applyNumberFormat="1" applyBorder="1"/>
    <xf numFmtId="49" fontId="0" fillId="0" borderId="3" xfId="0" applyNumberFormat="1" applyFont="1" applyBorder="1" applyAlignment="1">
      <alignment vertical="center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/>
    </xf>
    <xf numFmtId="0" fontId="0" fillId="0" borderId="0" xfId="0" applyBorder="1"/>
    <xf numFmtId="0" fontId="10" fillId="9" borderId="3" xfId="0" applyFont="1" applyFill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4" fillId="0" borderId="0" xfId="0" applyFont="1" applyBorder="1"/>
    <xf numFmtId="0" fontId="8" fillId="0" borderId="0" xfId="0" applyFont="1" applyFill="1" applyBorder="1" applyAlignment="1">
      <alignment horizontal="center" vertical="center"/>
    </xf>
    <xf numFmtId="0" fontId="0" fillId="0" borderId="3" xfId="0" applyNumberFormat="1" applyBorder="1" applyAlignment="1">
      <alignment horizontal="center"/>
    </xf>
    <xf numFmtId="49" fontId="0" fillId="0" borderId="3" xfId="0" applyNumberFormat="1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0" fillId="0" borderId="3" xfId="0" applyBorder="1"/>
    <xf numFmtId="49" fontId="0" fillId="0" borderId="5" xfId="0" applyNumberFormat="1" applyFill="1" applyBorder="1"/>
    <xf numFmtId="0" fontId="0" fillId="0" borderId="3" xfId="0" applyNumberFormat="1" applyBorder="1" applyAlignment="1">
      <alignment horizontal="left"/>
    </xf>
    <xf numFmtId="0" fontId="1" fillId="0" borderId="0" xfId="0" applyFont="1" applyAlignment="1">
      <alignment horizontal="right" vertical="center"/>
    </xf>
    <xf numFmtId="2" fontId="0" fillId="0" borderId="3" xfId="0" applyNumberFormat="1" applyBorder="1" applyAlignment="1">
      <alignment horizontal="center"/>
    </xf>
    <xf numFmtId="0" fontId="10" fillId="9" borderId="3" xfId="0" applyFont="1" applyFill="1" applyBorder="1" applyAlignment="1">
      <alignment horizontal="center"/>
    </xf>
    <xf numFmtId="0" fontId="0" fillId="0" borderId="0" xfId="0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5" fillId="0" borderId="0" xfId="0" applyFont="1" applyAlignment="1" applyProtection="1">
      <alignment horizontal="right"/>
      <protection hidden="1"/>
    </xf>
    <xf numFmtId="0" fontId="5" fillId="0" borderId="0" xfId="0" applyFont="1" applyAlignment="1" applyProtection="1">
      <alignment vertical="center"/>
      <protection hidden="1"/>
    </xf>
    <xf numFmtId="0" fontId="1" fillId="0" borderId="0" xfId="0" applyFont="1" applyProtection="1">
      <protection hidden="1"/>
    </xf>
    <xf numFmtId="0" fontId="0" fillId="0" borderId="0" xfId="0" applyFont="1" applyProtection="1">
      <protection hidden="1"/>
    </xf>
    <xf numFmtId="0" fontId="0" fillId="0" borderId="1" xfId="0" applyBorder="1" applyProtection="1">
      <protection hidden="1"/>
    </xf>
    <xf numFmtId="0" fontId="1" fillId="0" borderId="0" xfId="0" applyNumberFormat="1" applyFont="1" applyProtection="1">
      <protection hidden="1"/>
    </xf>
    <xf numFmtId="0" fontId="1" fillId="0" borderId="0" xfId="0" applyFont="1" applyAlignment="1" applyProtection="1">
      <alignment horizontal="left"/>
      <protection hidden="1"/>
    </xf>
    <xf numFmtId="0" fontId="0" fillId="0" borderId="2" xfId="0" applyBorder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6" fillId="0" borderId="0" xfId="0" applyFont="1" applyProtection="1"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0" xfId="0" applyAlignment="1" applyProtection="1">
      <alignment vertical="center" wrapText="1"/>
      <protection hidden="1"/>
    </xf>
    <xf numFmtId="0" fontId="0" fillId="0" borderId="0" xfId="0" applyFont="1" applyAlignment="1" applyProtection="1">
      <alignment horizontal="left"/>
      <protection hidden="1"/>
    </xf>
    <xf numFmtId="0" fontId="1" fillId="0" borderId="17" xfId="0" applyFont="1" applyBorder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horizontal="left" vertical="top"/>
      <protection hidden="1"/>
    </xf>
    <xf numFmtId="0" fontId="0" fillId="0" borderId="0" xfId="0" applyAlignment="1" applyProtection="1">
      <alignment horizontal="left"/>
      <protection hidden="1"/>
    </xf>
    <xf numFmtId="0" fontId="6" fillId="0" borderId="0" xfId="0" applyFont="1" applyAlignment="1" applyProtection="1">
      <protection hidden="1"/>
    </xf>
    <xf numFmtId="0" fontId="16" fillId="0" borderId="0" xfId="0" applyFont="1" applyAlignment="1" applyProtection="1">
      <protection hidden="1"/>
    </xf>
    <xf numFmtId="0" fontId="14" fillId="0" borderId="16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right" vertical="center"/>
      <protection hidden="1"/>
    </xf>
    <xf numFmtId="0" fontId="1" fillId="0" borderId="0" xfId="0" applyFont="1" applyAlignment="1" applyProtection="1">
      <alignment horizontal="left" vertical="center"/>
      <protection hidden="1"/>
    </xf>
    <xf numFmtId="0" fontId="0" fillId="0" borderId="0" xfId="0" applyFont="1" applyAlignment="1" applyProtection="1">
      <alignment horizontal="center" vertical="center"/>
      <protection hidden="1"/>
    </xf>
    <xf numFmtId="0" fontId="10" fillId="9" borderId="3" xfId="0" applyFont="1" applyFill="1" applyBorder="1" applyAlignment="1" applyProtection="1">
      <alignment horizontal="center"/>
      <protection hidden="1"/>
    </xf>
    <xf numFmtId="0" fontId="0" fillId="4" borderId="3" xfId="0" applyFill="1" applyBorder="1" applyAlignment="1" applyProtection="1">
      <alignment horizontal="center"/>
      <protection hidden="1"/>
    </xf>
    <xf numFmtId="0" fontId="0" fillId="0" borderId="3" xfId="0" applyNumberFormat="1" applyBorder="1" applyAlignment="1" applyProtection="1">
      <alignment horizontal="center"/>
      <protection hidden="1"/>
    </xf>
    <xf numFmtId="0" fontId="0" fillId="0" borderId="3" xfId="0" applyBorder="1" applyAlignment="1" applyProtection="1">
      <alignment horizontal="left"/>
      <protection hidden="1"/>
    </xf>
    <xf numFmtId="0" fontId="0" fillId="0" borderId="3" xfId="0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0" fontId="0" fillId="0" borderId="3" xfId="0" applyBorder="1" applyAlignment="1" applyProtection="1">
      <alignment horizontal="center"/>
      <protection locked="0"/>
    </xf>
    <xf numFmtId="0" fontId="0" fillId="0" borderId="3" xfId="0" quotePrefix="1" applyBorder="1" applyAlignment="1" applyProtection="1">
      <alignment horizontal="center"/>
      <protection locked="0"/>
    </xf>
    <xf numFmtId="0" fontId="10" fillId="9" borderId="3" xfId="0" applyFont="1" applyFill="1" applyBorder="1" applyAlignment="1" applyProtection="1">
      <alignment horizontal="center"/>
      <protection hidden="1"/>
    </xf>
    <xf numFmtId="0" fontId="1" fillId="0" borderId="0" xfId="0" applyFont="1" applyBorder="1" applyAlignment="1" applyProtection="1">
      <alignment horizontal="center" vertical="center"/>
      <protection hidden="1"/>
    </xf>
    <xf numFmtId="0" fontId="0" fillId="0" borderId="0" xfId="0" applyBorder="1" applyProtection="1">
      <protection hidden="1"/>
    </xf>
    <xf numFmtId="0" fontId="0" fillId="0" borderId="0" xfId="0" applyNumberFormat="1" applyAlignment="1" applyProtection="1">
      <alignment horizontal="center"/>
      <protection hidden="1"/>
    </xf>
    <xf numFmtId="0" fontId="11" fillId="9" borderId="3" xfId="0" applyFont="1" applyFill="1" applyBorder="1" applyAlignment="1" applyProtection="1">
      <alignment horizontal="center"/>
      <protection hidden="1"/>
    </xf>
    <xf numFmtId="0" fontId="0" fillId="0" borderId="0" xfId="0" applyAlignment="1" applyProtection="1">
      <protection hidden="1"/>
    </xf>
    <xf numFmtId="0" fontId="0" fillId="10" borderId="10" xfId="0" applyFill="1" applyBorder="1" applyProtection="1">
      <protection hidden="1"/>
    </xf>
    <xf numFmtId="0" fontId="0" fillId="10" borderId="1" xfId="0" applyFill="1" applyBorder="1" applyProtection="1">
      <protection hidden="1"/>
    </xf>
    <xf numFmtId="0" fontId="0" fillId="10" borderId="11" xfId="0" applyFill="1" applyBorder="1" applyProtection="1">
      <protection hidden="1"/>
    </xf>
    <xf numFmtId="0" fontId="0" fillId="12" borderId="0" xfId="0" applyFill="1" applyProtection="1">
      <protection hidden="1"/>
    </xf>
    <xf numFmtId="0" fontId="0" fillId="10" borderId="12" xfId="0" applyFill="1" applyBorder="1" applyProtection="1">
      <protection hidden="1"/>
    </xf>
    <xf numFmtId="0" fontId="0" fillId="10" borderId="13" xfId="0" applyFill="1" applyBorder="1" applyProtection="1">
      <protection hidden="1"/>
    </xf>
    <xf numFmtId="0" fontId="0" fillId="10" borderId="0" xfId="0" applyFill="1" applyBorder="1" applyProtection="1">
      <protection hidden="1"/>
    </xf>
    <xf numFmtId="0" fontId="1" fillId="11" borderId="4" xfId="0" applyFont="1" applyFill="1" applyBorder="1" applyAlignment="1" applyProtection="1">
      <alignment horizontal="center" vertical="center"/>
      <protection hidden="1"/>
    </xf>
    <xf numFmtId="0" fontId="1" fillId="10" borderId="0" xfId="0" applyFont="1" applyFill="1" applyBorder="1" applyAlignment="1" applyProtection="1">
      <alignment horizontal="center" vertical="center"/>
      <protection hidden="1"/>
    </xf>
    <xf numFmtId="0" fontId="1" fillId="11" borderId="4" xfId="0" applyFont="1" applyFill="1" applyBorder="1" applyAlignment="1" applyProtection="1">
      <alignment horizontal="center"/>
      <protection hidden="1"/>
    </xf>
    <xf numFmtId="0" fontId="0" fillId="10" borderId="14" xfId="0" applyFill="1" applyBorder="1" applyProtection="1">
      <protection hidden="1"/>
    </xf>
    <xf numFmtId="0" fontId="0" fillId="10" borderId="2" xfId="0" applyFill="1" applyBorder="1" applyProtection="1">
      <protection hidden="1"/>
    </xf>
    <xf numFmtId="0" fontId="0" fillId="10" borderId="15" xfId="0" applyFill="1" applyBorder="1" applyProtection="1">
      <protection hidden="1"/>
    </xf>
    <xf numFmtId="0" fontId="0" fillId="11" borderId="8" xfId="0" applyFont="1" applyFill="1" applyBorder="1" applyAlignment="1" applyProtection="1">
      <alignment horizontal="center" vertical="center"/>
      <protection locked="0"/>
    </xf>
    <xf numFmtId="0" fontId="15" fillId="10" borderId="0" xfId="0" applyFont="1" applyFill="1" applyBorder="1" applyAlignment="1" applyProtection="1">
      <alignment horizontal="center"/>
      <protection hidden="1"/>
    </xf>
    <xf numFmtId="0" fontId="13" fillId="10" borderId="0" xfId="0" applyFont="1" applyFill="1" applyBorder="1" applyAlignment="1" applyProtection="1">
      <alignment horizontal="center"/>
      <protection hidden="1"/>
    </xf>
    <xf numFmtId="0" fontId="0" fillId="11" borderId="9" xfId="0" applyFont="1" applyFill="1" applyBorder="1" applyAlignment="1" applyProtection="1">
      <alignment horizontal="center" vertical="center"/>
      <protection locked="0"/>
    </xf>
    <xf numFmtId="0" fontId="0" fillId="11" borderId="8" xfId="0" applyFont="1" applyFill="1" applyBorder="1" applyAlignment="1" applyProtection="1">
      <alignment horizontal="center" vertical="center"/>
      <protection locked="0"/>
    </xf>
    <xf numFmtId="0" fontId="0" fillId="11" borderId="9" xfId="0" applyFill="1" applyBorder="1" applyAlignment="1" applyProtection="1">
      <alignment horizontal="center"/>
      <protection locked="0"/>
    </xf>
    <xf numFmtId="0" fontId="0" fillId="11" borderId="8" xfId="0" applyFill="1" applyBorder="1" applyAlignment="1" applyProtection="1">
      <alignment horizontal="center"/>
      <protection locked="0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0" fillId="9" borderId="3" xfId="0" applyFont="1" applyFill="1" applyBorder="1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0" fillId="9" borderId="3" xfId="0" applyFont="1" applyFill="1" applyBorder="1" applyAlignment="1" applyProtection="1">
      <alignment horizontal="center"/>
      <protection hidden="1"/>
    </xf>
    <xf numFmtId="0" fontId="10" fillId="9" borderId="4" xfId="0" applyFont="1" applyFill="1" applyBorder="1" applyAlignment="1" applyProtection="1">
      <alignment horizontal="center"/>
      <protection hidden="1"/>
    </xf>
    <xf numFmtId="0" fontId="10" fillId="9" borderId="9" xfId="0" applyFont="1" applyFill="1" applyBorder="1" applyAlignment="1" applyProtection="1">
      <alignment horizontal="center"/>
      <protection hidden="1"/>
    </xf>
    <xf numFmtId="0" fontId="10" fillId="9" borderId="8" xfId="0" applyFont="1" applyFill="1" applyBorder="1" applyAlignment="1" applyProtection="1">
      <alignment horizontal="center"/>
      <protection hidden="1"/>
    </xf>
    <xf numFmtId="0" fontId="0" fillId="0" borderId="0" xfId="0" applyAlignment="1" applyProtection="1">
      <alignment horizontal="left"/>
      <protection hidden="1"/>
    </xf>
    <xf numFmtId="0" fontId="10" fillId="9" borderId="3" xfId="0" applyFont="1" applyFill="1" applyBorder="1" applyAlignment="1">
      <alignment horizontal="center" vertical="center"/>
    </xf>
    <xf numFmtId="0" fontId="10" fillId="9" borderId="3" xfId="0" applyFont="1" applyFill="1" applyBorder="1" applyAlignment="1">
      <alignment horizontal="center"/>
    </xf>
    <xf numFmtId="0" fontId="10" fillId="9" borderId="6" xfId="0" applyFont="1" applyFill="1" applyBorder="1" applyAlignment="1">
      <alignment horizontal="center" vertical="center"/>
    </xf>
    <xf numFmtId="0" fontId="10" fillId="9" borderId="7" xfId="0" applyFont="1" applyFill="1" applyBorder="1" applyAlignment="1">
      <alignment horizontal="center" vertical="center"/>
    </xf>
    <xf numFmtId="0" fontId="16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horizontal="left" vertical="center" wrapText="1"/>
      <protection hidden="1"/>
    </xf>
    <xf numFmtId="49" fontId="0" fillId="0" borderId="3" xfId="0" quotePrefix="1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28575</xdr:colOff>
      <xdr:row>3</xdr:row>
      <xdr:rowOff>152399</xdr:rowOff>
    </xdr:from>
    <xdr:to>
      <xdr:col>8</xdr:col>
      <xdr:colOff>85725</xdr:colOff>
      <xdr:row>10</xdr:row>
      <xdr:rowOff>142874</xdr:rowOff>
    </xdr:to>
    <xdr:pic>
      <xdr:nvPicPr>
        <xdr:cNvPr id="2" name="officeArt object">
          <a:extLst>
            <a:ext uri="{FF2B5EF4-FFF2-40B4-BE49-F238E27FC236}">
              <a16:creationId xmlns:a16="http://schemas.microsoft.com/office/drawing/2014/main" xmlns="" id="{3EDCE84A-2466-4F0B-8193-6D55FA43714F}"/>
            </a:ext>
          </a:extLst>
        </xdr:cNvPr>
        <xdr:cNvPicPr/>
      </xdr:nvPicPr>
      <xdr:blipFill>
        <a:blip xmlns:r="http://schemas.openxmlformats.org/officeDocument/2006/relationships" r:embed="rId1">
          <a:extLst/>
        </a:blip>
        <a:srcRect l="12656" t="26170" r="12656" b="16895"/>
        <a:stretch>
          <a:fillRect/>
        </a:stretch>
      </xdr:blipFill>
      <xdr:spPr>
        <a:xfrm>
          <a:off x="3686175" y="1447799"/>
          <a:ext cx="1276350" cy="13239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 editAs="oneCell">
    <xdr:from>
      <xdr:col>0</xdr:col>
      <xdr:colOff>0</xdr:colOff>
      <xdr:row>15</xdr:row>
      <xdr:rowOff>28576</xdr:rowOff>
    </xdr:from>
    <xdr:to>
      <xdr:col>3</xdr:col>
      <xdr:colOff>50984</xdr:colOff>
      <xdr:row>18</xdr:row>
      <xdr:rowOff>180976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3C19CDC9-BB2A-4AD1-8937-600BFE3060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09976"/>
          <a:ext cx="1879784" cy="723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0</xdr:col>
      <xdr:colOff>561975</xdr:colOff>
      <xdr:row>2</xdr:row>
      <xdr:rowOff>101600</xdr:rowOff>
    </xdr:to>
    <xdr:pic>
      <xdr:nvPicPr>
        <xdr:cNvPr id="2" name="officeArt object">
          <a:extLst>
            <a:ext uri="{FF2B5EF4-FFF2-40B4-BE49-F238E27FC236}">
              <a16:creationId xmlns:a16="http://schemas.microsoft.com/office/drawing/2014/main" xmlns="" id="{4535E1C7-97AF-4396-B668-4287FA2089BF}"/>
            </a:ext>
          </a:extLst>
        </xdr:cNvPr>
        <xdr:cNvPicPr/>
      </xdr:nvPicPr>
      <xdr:blipFill>
        <a:blip xmlns:r="http://schemas.openxmlformats.org/officeDocument/2006/relationships" r:embed="rId1">
          <a:extLst/>
        </a:blip>
        <a:srcRect l="12656" t="26170" r="12656" b="16895"/>
        <a:stretch>
          <a:fillRect/>
        </a:stretch>
      </xdr:blipFill>
      <xdr:spPr>
        <a:xfrm>
          <a:off x="47625" y="57150"/>
          <a:ext cx="514350" cy="6159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0</xdr:col>
      <xdr:colOff>561975</xdr:colOff>
      <xdr:row>2</xdr:row>
      <xdr:rowOff>104775</xdr:rowOff>
    </xdr:to>
    <xdr:pic>
      <xdr:nvPicPr>
        <xdr:cNvPr id="3" name="officeArt object">
          <a:extLst>
            <a:ext uri="{FF2B5EF4-FFF2-40B4-BE49-F238E27FC236}">
              <a16:creationId xmlns:a16="http://schemas.microsoft.com/office/drawing/2014/main" xmlns="" id="{91F52414-249E-416A-B8F5-6B1F47D6C8B7}"/>
            </a:ext>
          </a:extLst>
        </xdr:cNvPr>
        <xdr:cNvPicPr/>
      </xdr:nvPicPr>
      <xdr:blipFill>
        <a:blip xmlns:r="http://schemas.openxmlformats.org/officeDocument/2006/relationships" r:embed="rId1">
          <a:extLst/>
        </a:blip>
        <a:srcRect l="12656" t="26170" r="12656" b="16895"/>
        <a:stretch>
          <a:fillRect/>
        </a:stretch>
      </xdr:blipFill>
      <xdr:spPr>
        <a:xfrm>
          <a:off x="47625" y="57150"/>
          <a:ext cx="514350" cy="6191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171451</xdr:colOff>
      <xdr:row>0</xdr:row>
      <xdr:rowOff>85725</xdr:rowOff>
    </xdr:from>
    <xdr:to>
      <xdr:col>0</xdr:col>
      <xdr:colOff>685801</xdr:colOff>
      <xdr:row>2</xdr:row>
      <xdr:rowOff>111125</xdr:rowOff>
    </xdr:to>
    <xdr:pic>
      <xdr:nvPicPr>
        <xdr:cNvPr id="2" name="officeArt object">
          <a:extLst>
            <a:ext uri="{FF2B5EF4-FFF2-40B4-BE49-F238E27FC236}">
              <a16:creationId xmlns:a16="http://schemas.microsoft.com/office/drawing/2014/main" xmlns="" id="{308C574E-E85E-404E-BBDB-625CEB810B94}"/>
            </a:ext>
          </a:extLst>
        </xdr:cNvPr>
        <xdr:cNvPicPr/>
      </xdr:nvPicPr>
      <xdr:blipFill>
        <a:blip xmlns:r="http://schemas.openxmlformats.org/officeDocument/2006/relationships" r:embed="rId1">
          <a:extLst/>
        </a:blip>
        <a:srcRect l="12656" t="26170" r="12656" b="16895"/>
        <a:stretch>
          <a:fillRect/>
        </a:stretch>
      </xdr:blipFill>
      <xdr:spPr>
        <a:xfrm>
          <a:off x="171451" y="85725"/>
          <a:ext cx="514350" cy="6286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104775</xdr:colOff>
      <xdr:row>46</xdr:row>
      <xdr:rowOff>31720</xdr:rowOff>
    </xdr:from>
    <xdr:to>
      <xdr:col>0</xdr:col>
      <xdr:colOff>547056</xdr:colOff>
      <xdr:row>48</xdr:row>
      <xdr:rowOff>98720</xdr:rowOff>
    </xdr:to>
    <xdr:pic>
      <xdr:nvPicPr>
        <xdr:cNvPr id="5" name="B814FCD4-A440-4250-B37C-06C6483F39A7-L0-001.png">
          <a:extLst>
            <a:ext uri="{FF2B5EF4-FFF2-40B4-BE49-F238E27FC236}">
              <a16:creationId xmlns:a16="http://schemas.microsoft.com/office/drawing/2014/main" xmlns="" id="{04B7ACE3-8EFB-4FDF-B48E-D35FF6FB8D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/>
        </a:blip>
        <a:stretch>
          <a:fillRect/>
        </a:stretch>
      </xdr:blipFill>
      <xdr:spPr>
        <a:xfrm>
          <a:off x="104775" y="9242395"/>
          <a:ext cx="442281" cy="448000"/>
        </a:xfrm>
        <a:prstGeom prst="rect">
          <a:avLst/>
        </a:prstGeom>
        <a:ln w="12700" cap="flat">
          <a:noFill/>
          <a:miter lim="400000"/>
        </a:ln>
        <a:effectLst>
          <a:outerShdw blurRad="50800" dist="63500" dir="2700000" rotWithShape="0">
            <a:srgbClr val="000000">
              <a:alpha val="50000"/>
            </a:srgbClr>
          </a:outerShdw>
        </a:effectLst>
      </xdr:spPr>
    </xdr:pic>
    <xdr:clientData/>
  </xdr:twoCellAnchor>
  <xdr:twoCellAnchor>
    <xdr:from>
      <xdr:col>4</xdr:col>
      <xdr:colOff>438150</xdr:colOff>
      <xdr:row>45</xdr:row>
      <xdr:rowOff>152400</xdr:rowOff>
    </xdr:from>
    <xdr:to>
      <xdr:col>8</xdr:col>
      <xdr:colOff>561340</xdr:colOff>
      <xdr:row>49</xdr:row>
      <xdr:rowOff>17780</xdr:rowOff>
    </xdr:to>
    <xdr:sp macro="" textlink="">
      <xdr:nvSpPr>
        <xdr:cNvPr id="7" name="officeArt object">
          <a:extLst>
            <a:ext uri="{FF2B5EF4-FFF2-40B4-BE49-F238E27FC236}">
              <a16:creationId xmlns:a16="http://schemas.microsoft.com/office/drawing/2014/main" xmlns="" id="{CCADBDEA-1760-4E6C-A90D-922B514FDA0B}"/>
            </a:ext>
          </a:extLst>
        </xdr:cNvPr>
        <xdr:cNvSpPr txBox="1"/>
      </xdr:nvSpPr>
      <xdr:spPr>
        <a:xfrm>
          <a:off x="3219450" y="8953500"/>
          <a:ext cx="2561590" cy="627380"/>
        </a:xfrm>
        <a:prstGeom prst="rect">
          <a:avLst/>
        </a:prstGeom>
        <a:noFill/>
        <a:ln w="12700" cap="flat">
          <a:noFill/>
          <a:miter lim="400000"/>
        </a:ln>
        <a:effectLst/>
      </xdr:spPr>
      <xdr:txBody>
        <a:bodyPr wrap="square" lIns="50800" tIns="50800" rIns="50800" bIns="50800" numCol="1" anchor="t">
          <a:noAutofit/>
        </a:bodyPr>
        <a:lstStyle/>
        <a:p>
          <a:pPr marL="0" marR="0" algn="r">
            <a:spcBef>
              <a:spcPts val="0"/>
            </a:spcBef>
            <a:spcAft>
              <a:spcPts val="0"/>
            </a:spcAft>
          </a:pPr>
          <a:r>
            <a:rPr lang="en-US" sz="800" b="1">
              <a:solidFill>
                <a:srgbClr val="004C7F"/>
              </a:solidFill>
              <a:effectLst/>
              <a:latin typeface="Helvetica Neue"/>
              <a:ea typeface="Arial Unicode MS" panose="020B0604020202020204" pitchFamily="34" charset="-128"/>
              <a:cs typeface="Arial Unicode MS" panose="020B0604020202020204" pitchFamily="34" charset="-128"/>
            </a:rPr>
            <a:t>Sekolah Bukit Sion - Blue Campus</a:t>
          </a:r>
          <a:r>
            <a:rPr lang="en-US" sz="800">
              <a:solidFill>
                <a:srgbClr val="000000"/>
              </a:solidFill>
              <a:effectLst/>
              <a:latin typeface="Helvetica Neue"/>
              <a:ea typeface="Arial Unicode MS" panose="020B0604020202020204" pitchFamily="34" charset="-128"/>
              <a:cs typeface="Arial Unicode MS" panose="020B0604020202020204" pitchFamily="34" charset="-128"/>
            </a:rPr>
            <a:t> </a:t>
          </a:r>
          <a:endParaRPr lang="en-US" sz="1100">
            <a:solidFill>
              <a:srgbClr val="000000"/>
            </a:solidFill>
            <a:effectLst/>
            <a:latin typeface="Helvetica Neue"/>
            <a:ea typeface="Arial Unicode MS" panose="020B0604020202020204" pitchFamily="34" charset="-128"/>
            <a:cs typeface="Arial Unicode MS" panose="020B0604020202020204" pitchFamily="34" charset="-128"/>
          </a:endParaRPr>
        </a:p>
        <a:p>
          <a:pPr marL="0" marR="0" algn="r">
            <a:spcBef>
              <a:spcPts val="0"/>
            </a:spcBef>
            <a:spcAft>
              <a:spcPts val="0"/>
            </a:spcAft>
          </a:pPr>
          <a:r>
            <a:rPr lang="en-US" sz="800">
              <a:solidFill>
                <a:srgbClr val="000000"/>
              </a:solidFill>
              <a:effectLst/>
              <a:latin typeface="Helvetica Neue"/>
              <a:ea typeface="Arial Unicode MS" panose="020B0604020202020204" pitchFamily="34" charset="-128"/>
              <a:cs typeface="Arial Unicode MS" panose="020B0604020202020204" pitchFamily="34" charset="-128"/>
            </a:rPr>
            <a:t>Taman Kebon Jeruk Interkon Blok GA1, Jakarta Barat</a:t>
          </a:r>
          <a:endParaRPr lang="en-US" sz="1100">
            <a:solidFill>
              <a:srgbClr val="000000"/>
            </a:solidFill>
            <a:effectLst/>
            <a:latin typeface="Helvetica Neue"/>
            <a:ea typeface="Arial Unicode MS" panose="020B0604020202020204" pitchFamily="34" charset="-128"/>
            <a:cs typeface="Arial Unicode MS" panose="020B0604020202020204" pitchFamily="34" charset="-128"/>
          </a:endParaRPr>
        </a:p>
        <a:p>
          <a:pPr marL="0" marR="0" algn="r">
            <a:spcBef>
              <a:spcPts val="0"/>
            </a:spcBef>
            <a:spcAft>
              <a:spcPts val="0"/>
            </a:spcAft>
          </a:pPr>
          <a:r>
            <a:rPr lang="en-US" sz="800">
              <a:solidFill>
                <a:srgbClr val="000000"/>
              </a:solidFill>
              <a:effectLst/>
              <a:latin typeface="Helvetica Neue"/>
              <a:ea typeface="Arial Unicode MS" panose="020B0604020202020204" pitchFamily="34" charset="-128"/>
              <a:cs typeface="Arial Unicode MS" panose="020B0604020202020204" pitchFamily="34" charset="-128"/>
            </a:rPr>
            <a:t>Ph. (021) 58904181-83</a:t>
          </a:r>
          <a:endParaRPr lang="en-US" sz="1100">
            <a:solidFill>
              <a:srgbClr val="000000"/>
            </a:solidFill>
            <a:effectLst/>
            <a:latin typeface="Helvetica Neue"/>
            <a:ea typeface="Arial Unicode MS" panose="020B0604020202020204" pitchFamily="34" charset="-128"/>
            <a:cs typeface="Arial Unicode MS" panose="020B0604020202020204" pitchFamily="34" charset="-128"/>
          </a:endParaRPr>
        </a:p>
        <a:p>
          <a:pPr marL="0" marR="0" algn="r">
            <a:spcBef>
              <a:spcPts val="0"/>
            </a:spcBef>
            <a:spcAft>
              <a:spcPts val="0"/>
            </a:spcAft>
          </a:pPr>
          <a:r>
            <a:rPr lang="en-US" sz="800">
              <a:solidFill>
                <a:srgbClr val="000000"/>
              </a:solidFill>
              <a:effectLst/>
              <a:latin typeface="Helvetica Neue"/>
              <a:ea typeface="Arial Unicode MS" panose="020B0604020202020204" pitchFamily="34" charset="-128"/>
              <a:cs typeface="Arial Unicode MS" panose="020B0604020202020204" pitchFamily="34" charset="-128"/>
            </a:rPr>
            <a:t>Fax (021) 58904184</a:t>
          </a:r>
          <a:endParaRPr lang="en-US" sz="1100">
            <a:solidFill>
              <a:srgbClr val="000000"/>
            </a:solidFill>
            <a:effectLst/>
            <a:latin typeface="Helvetica Neue"/>
            <a:ea typeface="Arial Unicode MS" panose="020B0604020202020204" pitchFamily="34" charset="-128"/>
            <a:cs typeface="Arial Unicode MS" panose="020B0604020202020204" pitchFamily="34" charset="-128"/>
          </a:endParaRPr>
        </a:p>
      </xdr:txBody>
    </xdr:sp>
    <xdr:clientData/>
  </xdr:twoCellAnchor>
  <xdr:twoCellAnchor>
    <xdr:from>
      <xdr:col>0</xdr:col>
      <xdr:colOff>104775</xdr:colOff>
      <xdr:row>44</xdr:row>
      <xdr:rowOff>152400</xdr:rowOff>
    </xdr:from>
    <xdr:to>
      <xdr:col>3</xdr:col>
      <xdr:colOff>174809</xdr:colOff>
      <xdr:row>49</xdr:row>
      <xdr:rowOff>38100</xdr:rowOff>
    </xdr:to>
    <xdr:grpSp>
      <xdr:nvGrpSpPr>
        <xdr:cNvPr id="9" name="Group 8">
          <a:extLst>
            <a:ext uri="{FF2B5EF4-FFF2-40B4-BE49-F238E27FC236}">
              <a16:creationId xmlns:a16="http://schemas.microsoft.com/office/drawing/2014/main" xmlns="" id="{BCC1B806-97EC-403C-8567-28963C49436C}"/>
            </a:ext>
          </a:extLst>
        </xdr:cNvPr>
        <xdr:cNvGrpSpPr/>
      </xdr:nvGrpSpPr>
      <xdr:grpSpPr>
        <a:xfrm>
          <a:off x="104775" y="9502775"/>
          <a:ext cx="2197284" cy="838200"/>
          <a:chOff x="104775" y="8982075"/>
          <a:chExt cx="2203634" cy="838200"/>
        </a:xfrm>
      </xdr:grpSpPr>
      <xdr:sp macro="" textlink="">
        <xdr:nvSpPr>
          <xdr:cNvPr id="6" name="Shape 1073741834">
            <a:extLst>
              <a:ext uri="{FF2B5EF4-FFF2-40B4-BE49-F238E27FC236}">
                <a16:creationId xmlns:a16="http://schemas.microsoft.com/office/drawing/2014/main" xmlns="" id="{B48B0BF8-1418-46D3-91D9-065625B56F77}"/>
              </a:ext>
            </a:extLst>
          </xdr:cNvPr>
          <xdr:cNvSpPr txBox="1"/>
        </xdr:nvSpPr>
        <xdr:spPr>
          <a:xfrm>
            <a:off x="104775" y="8982075"/>
            <a:ext cx="1175239" cy="260321"/>
          </a:xfrm>
          <a:prstGeom prst="rect">
            <a:avLst/>
          </a:prstGeom>
          <a:noFill/>
          <a:ln w="12700" cap="flat">
            <a:noFill/>
            <a:miter lim="400000"/>
          </a:ln>
          <a:effectLst>
            <a:outerShdw blurRad="63500" dist="25400" dir="5400000" rotWithShape="0">
              <a:srgbClr val="000000">
                <a:alpha val="50000"/>
              </a:srgbClr>
            </a:outerShdw>
          </a:effectLst>
        </xdr:spPr>
        <xdr:txBody>
          <a:bodyPr wrap="square" lIns="50800" tIns="50800" rIns="50800" bIns="50800" numCol="1" anchor="ctr">
            <a:noAutofit/>
          </a:bodyPr>
          <a:lstStyle/>
          <a:p>
            <a:pPr marL="0" marR="0">
              <a:spcBef>
                <a:spcPts val="0"/>
              </a:spcBef>
              <a:spcAft>
                <a:spcPts val="0"/>
              </a:spcAft>
              <a:tabLst>
                <a:tab pos="914400" algn="l"/>
              </a:tabLst>
            </a:pPr>
            <a:r>
              <a:rPr lang="en-US" sz="800" b="1">
                <a:solidFill>
                  <a:srgbClr val="000000"/>
                </a:solidFill>
                <a:effectLst/>
                <a:latin typeface="Palatino"/>
                <a:ea typeface="Arial Unicode MS" panose="020B0604020202020204" pitchFamily="34" charset="-128"/>
                <a:cs typeface="Arial Unicode MS" panose="020B0604020202020204" pitchFamily="34" charset="-128"/>
              </a:rPr>
              <a:t>Authorized by</a:t>
            </a:r>
            <a:endParaRPr lang="en-US" sz="1100">
              <a:solidFill>
                <a:srgbClr val="000000"/>
              </a:solidFill>
              <a:effectLst/>
              <a:latin typeface="Helvetica Neue"/>
              <a:ea typeface="Arial Unicode MS" panose="020B0604020202020204" pitchFamily="34" charset="-128"/>
              <a:cs typeface="Arial Unicode MS" panose="020B0604020202020204" pitchFamily="34" charset="-128"/>
            </a:endParaRPr>
          </a:p>
        </xdr:txBody>
      </xdr:sp>
      <xdr:pic>
        <xdr:nvPicPr>
          <xdr:cNvPr id="8" name="Picture 7">
            <a:extLst>
              <a:ext uri="{FF2B5EF4-FFF2-40B4-BE49-F238E27FC236}">
                <a16:creationId xmlns:a16="http://schemas.microsoft.com/office/drawing/2014/main" xmlns="" id="{5B89D7F3-D29F-463B-838D-37BA409B1E6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28625" y="9096375"/>
            <a:ext cx="1879784" cy="723900"/>
          </a:xfrm>
          <a:prstGeom prst="rect">
            <a:avLst/>
          </a:prstGeom>
        </xdr:spPr>
      </xdr:pic>
    </xdr:grpSp>
    <xdr:clientData/>
  </xdr:twoCellAnchor>
  <xdr:twoCellAnchor>
    <xdr:from>
      <xdr:col>0</xdr:col>
      <xdr:colOff>104775</xdr:colOff>
      <xdr:row>103</xdr:row>
      <xdr:rowOff>31720</xdr:rowOff>
    </xdr:from>
    <xdr:to>
      <xdr:col>0</xdr:col>
      <xdr:colOff>547056</xdr:colOff>
      <xdr:row>105</xdr:row>
      <xdr:rowOff>98720</xdr:rowOff>
    </xdr:to>
    <xdr:pic>
      <xdr:nvPicPr>
        <xdr:cNvPr id="10" name="B814FCD4-A440-4250-B37C-06C6483F39A7-L0-001.png">
          <a:extLst>
            <a:ext uri="{FF2B5EF4-FFF2-40B4-BE49-F238E27FC236}">
              <a16:creationId xmlns:a16="http://schemas.microsoft.com/office/drawing/2014/main" xmlns="" id="{2899B4CB-51A2-45B9-9989-B3867F66FE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/>
        </a:blip>
        <a:stretch>
          <a:fillRect/>
        </a:stretch>
      </xdr:blipFill>
      <xdr:spPr>
        <a:xfrm>
          <a:off x="104775" y="9242395"/>
          <a:ext cx="442281" cy="448000"/>
        </a:xfrm>
        <a:prstGeom prst="rect">
          <a:avLst/>
        </a:prstGeom>
        <a:ln w="12700" cap="flat">
          <a:noFill/>
          <a:miter lim="400000"/>
        </a:ln>
        <a:effectLst>
          <a:outerShdw blurRad="50800" dist="63500" dir="2700000" rotWithShape="0">
            <a:srgbClr val="000000">
              <a:alpha val="50000"/>
            </a:srgbClr>
          </a:outerShdw>
        </a:effectLst>
      </xdr:spPr>
    </xdr:pic>
    <xdr:clientData/>
  </xdr:twoCellAnchor>
  <xdr:twoCellAnchor>
    <xdr:from>
      <xdr:col>4</xdr:col>
      <xdr:colOff>438150</xdr:colOff>
      <xdr:row>102</xdr:row>
      <xdr:rowOff>152400</xdr:rowOff>
    </xdr:from>
    <xdr:to>
      <xdr:col>8</xdr:col>
      <xdr:colOff>561340</xdr:colOff>
      <xdr:row>106</xdr:row>
      <xdr:rowOff>17780</xdr:rowOff>
    </xdr:to>
    <xdr:sp macro="" textlink="">
      <xdr:nvSpPr>
        <xdr:cNvPr id="11" name="officeArt object">
          <a:extLst>
            <a:ext uri="{FF2B5EF4-FFF2-40B4-BE49-F238E27FC236}">
              <a16:creationId xmlns:a16="http://schemas.microsoft.com/office/drawing/2014/main" xmlns="" id="{F0510C8F-E12E-4062-92E3-5A1C53F74C96}"/>
            </a:ext>
          </a:extLst>
        </xdr:cNvPr>
        <xdr:cNvSpPr txBox="1"/>
      </xdr:nvSpPr>
      <xdr:spPr>
        <a:xfrm>
          <a:off x="3219450" y="9172575"/>
          <a:ext cx="2561590" cy="627380"/>
        </a:xfrm>
        <a:prstGeom prst="rect">
          <a:avLst/>
        </a:prstGeom>
        <a:noFill/>
        <a:ln w="12700" cap="flat">
          <a:noFill/>
          <a:miter lim="400000"/>
        </a:ln>
        <a:effectLst/>
      </xdr:spPr>
      <xdr:txBody>
        <a:bodyPr wrap="square" lIns="50800" tIns="50800" rIns="50800" bIns="50800" numCol="1" anchor="t">
          <a:noAutofit/>
        </a:bodyPr>
        <a:lstStyle/>
        <a:p>
          <a:pPr marL="0" marR="0" algn="r">
            <a:spcBef>
              <a:spcPts val="0"/>
            </a:spcBef>
            <a:spcAft>
              <a:spcPts val="0"/>
            </a:spcAft>
          </a:pPr>
          <a:r>
            <a:rPr lang="en-US" sz="800" b="1">
              <a:solidFill>
                <a:srgbClr val="004C7F"/>
              </a:solidFill>
              <a:effectLst/>
              <a:latin typeface="Helvetica Neue"/>
              <a:ea typeface="Arial Unicode MS" panose="020B0604020202020204" pitchFamily="34" charset="-128"/>
              <a:cs typeface="Arial Unicode MS" panose="020B0604020202020204" pitchFamily="34" charset="-128"/>
            </a:rPr>
            <a:t>Sekolah Bukit Sion - Blue Campus</a:t>
          </a:r>
          <a:r>
            <a:rPr lang="en-US" sz="800">
              <a:solidFill>
                <a:srgbClr val="000000"/>
              </a:solidFill>
              <a:effectLst/>
              <a:latin typeface="Helvetica Neue"/>
              <a:ea typeface="Arial Unicode MS" panose="020B0604020202020204" pitchFamily="34" charset="-128"/>
              <a:cs typeface="Arial Unicode MS" panose="020B0604020202020204" pitchFamily="34" charset="-128"/>
            </a:rPr>
            <a:t> </a:t>
          </a:r>
          <a:endParaRPr lang="en-US" sz="1100">
            <a:solidFill>
              <a:srgbClr val="000000"/>
            </a:solidFill>
            <a:effectLst/>
            <a:latin typeface="Helvetica Neue"/>
            <a:ea typeface="Arial Unicode MS" panose="020B0604020202020204" pitchFamily="34" charset="-128"/>
            <a:cs typeface="Arial Unicode MS" panose="020B0604020202020204" pitchFamily="34" charset="-128"/>
          </a:endParaRPr>
        </a:p>
        <a:p>
          <a:pPr marL="0" marR="0" algn="r">
            <a:spcBef>
              <a:spcPts val="0"/>
            </a:spcBef>
            <a:spcAft>
              <a:spcPts val="0"/>
            </a:spcAft>
          </a:pPr>
          <a:r>
            <a:rPr lang="en-US" sz="800">
              <a:solidFill>
                <a:srgbClr val="000000"/>
              </a:solidFill>
              <a:effectLst/>
              <a:latin typeface="Helvetica Neue"/>
              <a:ea typeface="Arial Unicode MS" panose="020B0604020202020204" pitchFamily="34" charset="-128"/>
              <a:cs typeface="Arial Unicode MS" panose="020B0604020202020204" pitchFamily="34" charset="-128"/>
            </a:rPr>
            <a:t>Taman Kebon Jeruk Interkon Blok GA1, Jakarta Barat</a:t>
          </a:r>
          <a:endParaRPr lang="en-US" sz="1100">
            <a:solidFill>
              <a:srgbClr val="000000"/>
            </a:solidFill>
            <a:effectLst/>
            <a:latin typeface="Helvetica Neue"/>
            <a:ea typeface="Arial Unicode MS" panose="020B0604020202020204" pitchFamily="34" charset="-128"/>
            <a:cs typeface="Arial Unicode MS" panose="020B0604020202020204" pitchFamily="34" charset="-128"/>
          </a:endParaRPr>
        </a:p>
        <a:p>
          <a:pPr marL="0" marR="0" algn="r">
            <a:spcBef>
              <a:spcPts val="0"/>
            </a:spcBef>
            <a:spcAft>
              <a:spcPts val="0"/>
            </a:spcAft>
          </a:pPr>
          <a:r>
            <a:rPr lang="en-US" sz="800">
              <a:solidFill>
                <a:srgbClr val="000000"/>
              </a:solidFill>
              <a:effectLst/>
              <a:latin typeface="Helvetica Neue"/>
              <a:ea typeface="Arial Unicode MS" panose="020B0604020202020204" pitchFamily="34" charset="-128"/>
              <a:cs typeface="Arial Unicode MS" panose="020B0604020202020204" pitchFamily="34" charset="-128"/>
            </a:rPr>
            <a:t>Ph. (021) 58904181-83</a:t>
          </a:r>
          <a:endParaRPr lang="en-US" sz="1100">
            <a:solidFill>
              <a:srgbClr val="000000"/>
            </a:solidFill>
            <a:effectLst/>
            <a:latin typeface="Helvetica Neue"/>
            <a:ea typeface="Arial Unicode MS" panose="020B0604020202020204" pitchFamily="34" charset="-128"/>
            <a:cs typeface="Arial Unicode MS" panose="020B0604020202020204" pitchFamily="34" charset="-128"/>
          </a:endParaRPr>
        </a:p>
        <a:p>
          <a:pPr marL="0" marR="0" algn="r">
            <a:spcBef>
              <a:spcPts val="0"/>
            </a:spcBef>
            <a:spcAft>
              <a:spcPts val="0"/>
            </a:spcAft>
          </a:pPr>
          <a:r>
            <a:rPr lang="en-US" sz="800">
              <a:solidFill>
                <a:srgbClr val="000000"/>
              </a:solidFill>
              <a:effectLst/>
              <a:latin typeface="Helvetica Neue"/>
              <a:ea typeface="Arial Unicode MS" panose="020B0604020202020204" pitchFamily="34" charset="-128"/>
              <a:cs typeface="Arial Unicode MS" panose="020B0604020202020204" pitchFamily="34" charset="-128"/>
            </a:rPr>
            <a:t>Fax (021) 58904184</a:t>
          </a:r>
          <a:endParaRPr lang="en-US" sz="1100">
            <a:solidFill>
              <a:srgbClr val="000000"/>
            </a:solidFill>
            <a:effectLst/>
            <a:latin typeface="Helvetica Neue"/>
            <a:ea typeface="Arial Unicode MS" panose="020B0604020202020204" pitchFamily="34" charset="-128"/>
            <a:cs typeface="Arial Unicode MS" panose="020B0604020202020204" pitchFamily="34" charset="-128"/>
          </a:endParaRPr>
        </a:p>
      </xdr:txBody>
    </xdr:sp>
    <xdr:clientData/>
  </xdr:twoCellAnchor>
  <xdr:twoCellAnchor>
    <xdr:from>
      <xdr:col>0</xdr:col>
      <xdr:colOff>104775</xdr:colOff>
      <xdr:row>101</xdr:row>
      <xdr:rowOff>152400</xdr:rowOff>
    </xdr:from>
    <xdr:to>
      <xdr:col>3</xdr:col>
      <xdr:colOff>174809</xdr:colOff>
      <xdr:row>106</xdr:row>
      <xdr:rowOff>38100</xdr:rowOff>
    </xdr:to>
    <xdr:grpSp>
      <xdr:nvGrpSpPr>
        <xdr:cNvPr id="12" name="Group 11">
          <a:extLst>
            <a:ext uri="{FF2B5EF4-FFF2-40B4-BE49-F238E27FC236}">
              <a16:creationId xmlns:a16="http://schemas.microsoft.com/office/drawing/2014/main" xmlns="" id="{F7BFE707-BAAA-4CC5-8DCD-20EB62BD25F6}"/>
            </a:ext>
          </a:extLst>
        </xdr:cNvPr>
        <xdr:cNvGrpSpPr/>
      </xdr:nvGrpSpPr>
      <xdr:grpSpPr>
        <a:xfrm>
          <a:off x="104775" y="19885025"/>
          <a:ext cx="2197284" cy="838200"/>
          <a:chOff x="104775" y="8982075"/>
          <a:chExt cx="2203634" cy="838200"/>
        </a:xfrm>
      </xdr:grpSpPr>
      <xdr:sp macro="" textlink="">
        <xdr:nvSpPr>
          <xdr:cNvPr id="13" name="Shape 1073741834">
            <a:extLst>
              <a:ext uri="{FF2B5EF4-FFF2-40B4-BE49-F238E27FC236}">
                <a16:creationId xmlns:a16="http://schemas.microsoft.com/office/drawing/2014/main" xmlns="" id="{EFCE4184-5E89-4ABA-AE2B-684B65BCA892}"/>
              </a:ext>
            </a:extLst>
          </xdr:cNvPr>
          <xdr:cNvSpPr txBox="1"/>
        </xdr:nvSpPr>
        <xdr:spPr>
          <a:xfrm>
            <a:off x="104775" y="8982075"/>
            <a:ext cx="1175239" cy="260321"/>
          </a:xfrm>
          <a:prstGeom prst="rect">
            <a:avLst/>
          </a:prstGeom>
          <a:noFill/>
          <a:ln w="12700" cap="flat">
            <a:noFill/>
            <a:miter lim="400000"/>
          </a:ln>
          <a:effectLst>
            <a:outerShdw blurRad="63500" dist="25400" dir="5400000" rotWithShape="0">
              <a:srgbClr val="000000">
                <a:alpha val="50000"/>
              </a:srgbClr>
            </a:outerShdw>
          </a:effectLst>
        </xdr:spPr>
        <xdr:txBody>
          <a:bodyPr wrap="square" lIns="50800" tIns="50800" rIns="50800" bIns="50800" numCol="1" anchor="ctr">
            <a:noAutofit/>
          </a:bodyPr>
          <a:lstStyle/>
          <a:p>
            <a:pPr marL="0" marR="0">
              <a:spcBef>
                <a:spcPts val="0"/>
              </a:spcBef>
              <a:spcAft>
                <a:spcPts val="0"/>
              </a:spcAft>
              <a:tabLst>
                <a:tab pos="914400" algn="l"/>
              </a:tabLst>
            </a:pPr>
            <a:r>
              <a:rPr lang="en-US" sz="800" b="1">
                <a:solidFill>
                  <a:srgbClr val="000000"/>
                </a:solidFill>
                <a:effectLst/>
                <a:latin typeface="Palatino"/>
                <a:ea typeface="Arial Unicode MS" panose="020B0604020202020204" pitchFamily="34" charset="-128"/>
                <a:cs typeface="Arial Unicode MS" panose="020B0604020202020204" pitchFamily="34" charset="-128"/>
              </a:rPr>
              <a:t>Authorized by</a:t>
            </a:r>
            <a:endParaRPr lang="en-US" sz="1100">
              <a:solidFill>
                <a:srgbClr val="000000"/>
              </a:solidFill>
              <a:effectLst/>
              <a:latin typeface="Helvetica Neue"/>
              <a:ea typeface="Arial Unicode MS" panose="020B0604020202020204" pitchFamily="34" charset="-128"/>
              <a:cs typeface="Arial Unicode MS" panose="020B0604020202020204" pitchFamily="34" charset="-128"/>
            </a:endParaRPr>
          </a:p>
        </xdr:txBody>
      </xdr:sp>
      <xdr:pic>
        <xdr:nvPicPr>
          <xdr:cNvPr id="14" name="Picture 13">
            <a:extLst>
              <a:ext uri="{FF2B5EF4-FFF2-40B4-BE49-F238E27FC236}">
                <a16:creationId xmlns:a16="http://schemas.microsoft.com/office/drawing/2014/main" xmlns="" id="{02E73BA7-8377-45DB-80CA-E86284B4380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28625" y="9096375"/>
            <a:ext cx="1879784" cy="723900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workbookViewId="0">
      <selection activeCell="G18" sqref="G18"/>
    </sheetView>
  </sheetViews>
  <sheetFormatPr defaultRowHeight="15" x14ac:dyDescent="0.25"/>
  <cols>
    <col min="1" max="17" width="9.140625" style="91"/>
    <col min="18" max="20" width="9.140625" style="91" hidden="1" customWidth="1"/>
    <col min="21" max="16384" width="9.140625" style="91"/>
  </cols>
  <sheetData>
    <row r="1" spans="1:14" x14ac:dyDescent="0.25">
      <c r="A1" s="88"/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90"/>
    </row>
    <row r="2" spans="1:14" ht="51" x14ac:dyDescent="0.75">
      <c r="A2" s="92"/>
      <c r="B2" s="102" t="s">
        <v>306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93"/>
    </row>
    <row r="3" spans="1:14" ht="36" x14ac:dyDescent="0.55000000000000004">
      <c r="A3" s="92"/>
      <c r="B3" s="103" t="s">
        <v>1</v>
      </c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93"/>
    </row>
    <row r="4" spans="1:14" x14ac:dyDescent="0.25">
      <c r="A4" s="92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3"/>
    </row>
    <row r="5" spans="1:14" x14ac:dyDescent="0.25">
      <c r="A5" s="92"/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3"/>
    </row>
    <row r="6" spans="1:14" x14ac:dyDescent="0.25">
      <c r="A6" s="92"/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3"/>
    </row>
    <row r="7" spans="1:14" x14ac:dyDescent="0.25">
      <c r="A7" s="92"/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3"/>
    </row>
    <row r="8" spans="1:14" x14ac:dyDescent="0.25">
      <c r="A8" s="92"/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3"/>
    </row>
    <row r="9" spans="1:14" x14ac:dyDescent="0.25">
      <c r="A9" s="92"/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3"/>
    </row>
    <row r="10" spans="1:14" x14ac:dyDescent="0.25">
      <c r="A10" s="92"/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3"/>
    </row>
    <row r="11" spans="1:14" x14ac:dyDescent="0.25">
      <c r="A11" s="92"/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3"/>
    </row>
    <row r="12" spans="1:14" x14ac:dyDescent="0.25">
      <c r="A12" s="92"/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3"/>
    </row>
    <row r="13" spans="1:14" x14ac:dyDescent="0.25">
      <c r="A13" s="92"/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3"/>
    </row>
    <row r="14" spans="1:14" x14ac:dyDescent="0.25">
      <c r="A14" s="92"/>
      <c r="B14" s="95" t="s">
        <v>257</v>
      </c>
      <c r="C14" s="101">
        <v>10.1</v>
      </c>
      <c r="D14" s="96"/>
      <c r="E14" s="96"/>
      <c r="F14" s="95" t="s">
        <v>258</v>
      </c>
      <c r="G14" s="101" t="s">
        <v>26</v>
      </c>
      <c r="H14" s="96"/>
      <c r="I14" s="96"/>
      <c r="J14" s="96"/>
      <c r="K14" s="95" t="s">
        <v>259</v>
      </c>
      <c r="L14" s="104" t="s">
        <v>261</v>
      </c>
      <c r="M14" s="105"/>
      <c r="N14" s="93"/>
    </row>
    <row r="15" spans="1:14" x14ac:dyDescent="0.25">
      <c r="A15" s="92"/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3"/>
    </row>
    <row r="16" spans="1:14" x14ac:dyDescent="0.25">
      <c r="A16" s="92"/>
      <c r="B16" s="94"/>
      <c r="C16" s="94"/>
      <c r="D16" s="94"/>
      <c r="E16" s="94"/>
      <c r="F16" s="94"/>
      <c r="G16" s="94"/>
      <c r="H16" s="94"/>
      <c r="I16" s="94"/>
      <c r="J16" s="94"/>
      <c r="K16" s="97" t="s">
        <v>264</v>
      </c>
      <c r="L16" s="106"/>
      <c r="M16" s="107"/>
      <c r="N16" s="93"/>
    </row>
    <row r="17" spans="1:20" x14ac:dyDescent="0.25">
      <c r="A17" s="92"/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3"/>
    </row>
    <row r="18" spans="1:20" x14ac:dyDescent="0.25">
      <c r="A18" s="92"/>
      <c r="B18" s="94"/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3"/>
    </row>
    <row r="19" spans="1:20" x14ac:dyDescent="0.25">
      <c r="A19" s="98"/>
      <c r="B19" s="99"/>
      <c r="C19" s="99"/>
      <c r="D19" s="99"/>
      <c r="E19" s="99"/>
      <c r="F19" s="99"/>
      <c r="G19" s="99"/>
      <c r="H19" s="99"/>
      <c r="I19" s="99"/>
      <c r="J19" s="99"/>
      <c r="K19" s="99"/>
      <c r="L19" s="99"/>
      <c r="M19" s="99"/>
      <c r="N19" s="100"/>
    </row>
    <row r="22" spans="1:20" x14ac:dyDescent="0.25">
      <c r="R22" s="91">
        <v>10.1</v>
      </c>
      <c r="T22" s="91" t="s">
        <v>26</v>
      </c>
    </row>
    <row r="23" spans="1:20" x14ac:dyDescent="0.25">
      <c r="R23" s="91">
        <v>10.199999999999999</v>
      </c>
      <c r="T23" s="91" t="s">
        <v>263</v>
      </c>
    </row>
    <row r="24" spans="1:20" x14ac:dyDescent="0.25">
      <c r="R24" s="91">
        <v>10.3</v>
      </c>
    </row>
    <row r="25" spans="1:20" x14ac:dyDescent="0.25">
      <c r="R25" s="91">
        <v>10.4</v>
      </c>
    </row>
  </sheetData>
  <sheetProtection algorithmName="SHA-512" hashValue="FUSWeL9oDKGgt6s2lbWbsTLhUvQ5gLSM2pZBLjwPNV4kyVaQBPck8dyKyp1Sg8ViIRcDGkkgIb5GdOz3Dw499g==" saltValue="9OTCaLa7/YgJL6lCerv+iA==" spinCount="100000" sheet="1" objects="1" scenarios="1"/>
  <mergeCells count="4">
    <mergeCell ref="B2:M2"/>
    <mergeCell ref="B3:M3"/>
    <mergeCell ref="L14:M14"/>
    <mergeCell ref="L16:M16"/>
  </mergeCells>
  <dataValidations count="2">
    <dataValidation type="list" allowBlank="1" showInputMessage="1" showErrorMessage="1" sqref="C14">
      <formula1>$R$21:$R$25</formula1>
    </dataValidation>
    <dataValidation type="list" allowBlank="1" showInputMessage="1" showErrorMessage="1" sqref="T22 G14">
      <formula1>$T$21:$T$23</formula1>
    </dataValidation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2"/>
  <sheetViews>
    <sheetView showGridLines="0" tabSelected="1" topLeftCell="A3" workbookViewId="0">
      <selection activeCell="U66" sqref="U66"/>
    </sheetView>
  </sheetViews>
  <sheetFormatPr defaultRowHeight="15" x14ac:dyDescent="0.25"/>
  <cols>
    <col min="1" max="1" width="5.7109375" customWidth="1"/>
    <col min="2" max="2" width="16.7109375" customWidth="1"/>
    <col min="3" max="3" width="30.7109375" customWidth="1"/>
    <col min="4" max="4" width="8.7109375" style="4" customWidth="1"/>
    <col min="5" max="5" width="20.7109375" style="4" customWidth="1"/>
    <col min="6" max="6" width="6.7109375" style="4" customWidth="1"/>
    <col min="8" max="8" width="5.7109375" hidden="1" customWidth="1"/>
    <col min="9" max="9" width="16.7109375" hidden="1" customWidth="1"/>
    <col min="10" max="10" width="30.7109375" hidden="1" customWidth="1"/>
    <col min="11" max="11" width="8.7109375" style="4" hidden="1" customWidth="1"/>
    <col min="12" max="12" width="20.7109375" style="4" hidden="1" customWidth="1"/>
    <col min="13" max="13" width="6.7109375" style="4" hidden="1" customWidth="1"/>
    <col min="14" max="14" width="0" hidden="1" customWidth="1"/>
    <col min="15" max="15" width="5.7109375" hidden="1" customWidth="1"/>
    <col min="16" max="16" width="16.7109375" hidden="1" customWidth="1"/>
    <col min="17" max="17" width="30.7109375" hidden="1" customWidth="1"/>
    <col min="18" max="18" width="8.7109375" style="4" hidden="1" customWidth="1"/>
    <col min="19" max="19" width="20.7109375" style="4" hidden="1" customWidth="1"/>
    <col min="20" max="20" width="6.7109375" style="4" hidden="1" customWidth="1"/>
  </cols>
  <sheetData>
    <row r="1" spans="1:20" ht="23.25" x14ac:dyDescent="0.35">
      <c r="A1" s="109" t="s">
        <v>307</v>
      </c>
      <c r="B1" s="109"/>
      <c r="C1" s="109"/>
      <c r="D1" s="109"/>
      <c r="E1" s="109"/>
      <c r="F1" s="109"/>
      <c r="H1" s="108" t="s">
        <v>235</v>
      </c>
      <c r="I1" s="108"/>
      <c r="J1" s="108"/>
      <c r="K1" s="108"/>
      <c r="L1" s="108"/>
      <c r="M1" s="108"/>
      <c r="O1" s="108" t="s">
        <v>236</v>
      </c>
      <c r="P1" s="108"/>
      <c r="Q1" s="108"/>
      <c r="R1" s="108"/>
      <c r="S1" s="108"/>
      <c r="T1" s="108"/>
    </row>
    <row r="3" spans="1:20" x14ac:dyDescent="0.25">
      <c r="A3" s="13" t="s">
        <v>234</v>
      </c>
      <c r="B3" s="15">
        <v>10.1</v>
      </c>
      <c r="H3" s="13" t="s">
        <v>234</v>
      </c>
      <c r="I3" s="15">
        <v>8.1</v>
      </c>
      <c r="O3" s="13" t="s">
        <v>234</v>
      </c>
      <c r="P3" s="15">
        <v>9.1</v>
      </c>
    </row>
    <row r="4" spans="1:20" x14ac:dyDescent="0.25">
      <c r="A4" s="16" t="s">
        <v>230</v>
      </c>
      <c r="B4" s="16" t="s">
        <v>28</v>
      </c>
      <c r="C4" s="16" t="s">
        <v>231</v>
      </c>
      <c r="D4" s="16" t="s">
        <v>232</v>
      </c>
      <c r="E4" s="16" t="s">
        <v>233</v>
      </c>
      <c r="F4" s="16" t="s">
        <v>247</v>
      </c>
      <c r="H4" s="20" t="s">
        <v>230</v>
      </c>
      <c r="I4" s="20" t="s">
        <v>28</v>
      </c>
      <c r="J4" s="20" t="s">
        <v>231</v>
      </c>
      <c r="K4" s="20" t="s">
        <v>232</v>
      </c>
      <c r="L4" s="20" t="s">
        <v>233</v>
      </c>
      <c r="M4" s="20" t="s">
        <v>247</v>
      </c>
      <c r="O4" s="21" t="s">
        <v>230</v>
      </c>
      <c r="P4" s="21" t="s">
        <v>28</v>
      </c>
      <c r="Q4" s="21" t="s">
        <v>231</v>
      </c>
      <c r="R4" s="21" t="s">
        <v>232</v>
      </c>
      <c r="S4" s="21" t="s">
        <v>233</v>
      </c>
      <c r="T4" s="21" t="s">
        <v>247</v>
      </c>
    </row>
    <row r="5" spans="1:20" x14ac:dyDescent="0.25">
      <c r="A5" s="18">
        <v>1</v>
      </c>
      <c r="B5" s="124" t="s">
        <v>382</v>
      </c>
      <c r="C5" s="24" t="s">
        <v>312</v>
      </c>
      <c r="D5" s="23" t="s">
        <v>383</v>
      </c>
      <c r="E5" s="124" t="s">
        <v>430</v>
      </c>
      <c r="F5" s="33"/>
      <c r="H5" s="19">
        <v>1</v>
      </c>
      <c r="I5" s="24"/>
      <c r="J5" s="24" t="s">
        <v>41</v>
      </c>
      <c r="K5" s="23"/>
      <c r="L5" s="23"/>
      <c r="M5" s="40"/>
      <c r="O5" s="22">
        <v>1</v>
      </c>
      <c r="P5" s="24"/>
      <c r="Q5" s="24" t="s">
        <v>133</v>
      </c>
      <c r="R5" s="23"/>
      <c r="S5" s="23"/>
      <c r="T5" s="9" t="s">
        <v>265</v>
      </c>
    </row>
    <row r="6" spans="1:20" x14ac:dyDescent="0.25">
      <c r="A6" s="18">
        <v>2</v>
      </c>
      <c r="B6" s="23" t="s">
        <v>384</v>
      </c>
      <c r="C6" s="24" t="s">
        <v>313</v>
      </c>
      <c r="D6" s="23" t="s">
        <v>383</v>
      </c>
      <c r="E6" s="124" t="s">
        <v>431</v>
      </c>
      <c r="F6" s="33"/>
      <c r="H6" s="19">
        <v>2</v>
      </c>
      <c r="I6" s="24"/>
      <c r="J6" s="24" t="s">
        <v>45</v>
      </c>
      <c r="K6" s="23"/>
      <c r="L6" s="23"/>
      <c r="M6" s="40" t="s">
        <v>265</v>
      </c>
      <c r="O6" s="22">
        <v>2</v>
      </c>
      <c r="P6" s="24"/>
      <c r="Q6" s="24" t="s">
        <v>137</v>
      </c>
      <c r="R6" s="23"/>
      <c r="S6" s="23"/>
      <c r="T6" s="9" t="s">
        <v>265</v>
      </c>
    </row>
    <row r="7" spans="1:20" x14ac:dyDescent="0.25">
      <c r="A7" s="18">
        <v>3</v>
      </c>
      <c r="B7" s="23" t="s">
        <v>385</v>
      </c>
      <c r="C7" s="24" t="s">
        <v>314</v>
      </c>
      <c r="D7" s="23" t="s">
        <v>386</v>
      </c>
      <c r="E7" s="124" t="s">
        <v>432</v>
      </c>
      <c r="F7" s="33"/>
      <c r="H7" s="19">
        <v>3</v>
      </c>
      <c r="I7" s="24"/>
      <c r="J7" s="24" t="s">
        <v>49</v>
      </c>
      <c r="K7" s="23"/>
      <c r="L7" s="23"/>
      <c r="M7" s="40" t="s">
        <v>265</v>
      </c>
      <c r="O7" s="22">
        <v>3</v>
      </c>
      <c r="P7" s="24"/>
      <c r="Q7" s="24" t="s">
        <v>141</v>
      </c>
      <c r="R7" s="23"/>
      <c r="S7" s="23"/>
      <c r="T7" s="9"/>
    </row>
    <row r="8" spans="1:20" x14ac:dyDescent="0.25">
      <c r="A8" s="18">
        <v>4</v>
      </c>
      <c r="B8" s="23" t="s">
        <v>387</v>
      </c>
      <c r="C8" s="24" t="s">
        <v>315</v>
      </c>
      <c r="D8" s="23" t="s">
        <v>386</v>
      </c>
      <c r="E8" s="124" t="s">
        <v>433</v>
      </c>
      <c r="F8" s="33" t="s">
        <v>265</v>
      </c>
      <c r="H8" s="19">
        <v>4</v>
      </c>
      <c r="I8" s="24"/>
      <c r="J8" s="24" t="s">
        <v>53</v>
      </c>
      <c r="K8" s="23"/>
      <c r="L8" s="23"/>
      <c r="M8" s="40"/>
      <c r="O8" s="22">
        <v>4</v>
      </c>
      <c r="P8" s="24"/>
      <c r="Q8" s="24" t="s">
        <v>145</v>
      </c>
      <c r="R8" s="23"/>
      <c r="S8" s="23"/>
      <c r="T8" s="9" t="s">
        <v>265</v>
      </c>
    </row>
    <row r="9" spans="1:20" x14ac:dyDescent="0.25">
      <c r="A9" s="18">
        <v>5</v>
      </c>
      <c r="B9" s="23" t="s">
        <v>388</v>
      </c>
      <c r="C9" s="24" t="s">
        <v>316</v>
      </c>
      <c r="D9" s="23" t="s">
        <v>383</v>
      </c>
      <c r="E9" s="124" t="s">
        <v>434</v>
      </c>
      <c r="F9" s="33" t="s">
        <v>265</v>
      </c>
      <c r="H9" s="19">
        <v>5</v>
      </c>
      <c r="I9" s="24"/>
      <c r="J9" s="24" t="s">
        <v>57</v>
      </c>
      <c r="K9" s="23"/>
      <c r="L9" s="23"/>
      <c r="M9" s="40" t="s">
        <v>265</v>
      </c>
      <c r="O9" s="22">
        <v>5</v>
      </c>
      <c r="P9" s="24"/>
      <c r="Q9" s="24" t="s">
        <v>149</v>
      </c>
      <c r="R9" s="23"/>
      <c r="S9" s="23"/>
      <c r="T9" s="9"/>
    </row>
    <row r="10" spans="1:20" x14ac:dyDescent="0.25">
      <c r="A10" s="18">
        <v>6</v>
      </c>
      <c r="B10" s="23" t="s">
        <v>389</v>
      </c>
      <c r="C10" s="24" t="s">
        <v>317</v>
      </c>
      <c r="D10" s="23" t="s">
        <v>383</v>
      </c>
      <c r="E10" s="124" t="s">
        <v>435</v>
      </c>
      <c r="F10" s="33" t="s">
        <v>265</v>
      </c>
      <c r="H10" s="19">
        <v>6</v>
      </c>
      <c r="I10" s="24"/>
      <c r="J10" s="24" t="s">
        <v>61</v>
      </c>
      <c r="K10" s="23"/>
      <c r="L10" s="23"/>
      <c r="M10" s="40"/>
      <c r="O10" s="22">
        <v>6</v>
      </c>
      <c r="P10" s="24"/>
      <c r="Q10" s="24" t="s">
        <v>153</v>
      </c>
      <c r="R10" s="23"/>
      <c r="S10" s="23"/>
      <c r="T10" s="9" t="s">
        <v>265</v>
      </c>
    </row>
    <row r="11" spans="1:20" x14ac:dyDescent="0.25">
      <c r="A11" s="18">
        <v>7</v>
      </c>
      <c r="B11" s="23" t="s">
        <v>390</v>
      </c>
      <c r="C11" s="24" t="s">
        <v>318</v>
      </c>
      <c r="D11" s="23" t="s">
        <v>383</v>
      </c>
      <c r="E11" s="124" t="s">
        <v>436</v>
      </c>
      <c r="F11" s="33"/>
      <c r="H11" s="19">
        <v>7</v>
      </c>
      <c r="I11" s="24"/>
      <c r="J11" s="24" t="s">
        <v>65</v>
      </c>
      <c r="K11" s="23"/>
      <c r="L11" s="23"/>
      <c r="M11" s="40" t="s">
        <v>265</v>
      </c>
      <c r="O11" s="22">
        <v>7</v>
      </c>
      <c r="P11" s="24"/>
      <c r="Q11" s="24" t="s">
        <v>157</v>
      </c>
      <c r="R11" s="23"/>
      <c r="S11" s="23"/>
      <c r="T11" s="9"/>
    </row>
    <row r="12" spans="1:20" x14ac:dyDescent="0.25">
      <c r="A12" s="18">
        <v>8</v>
      </c>
      <c r="B12" s="23" t="s">
        <v>391</v>
      </c>
      <c r="C12" s="24" t="s">
        <v>319</v>
      </c>
      <c r="D12" s="23" t="s">
        <v>386</v>
      </c>
      <c r="E12" s="124" t="s">
        <v>437</v>
      </c>
      <c r="F12" s="33" t="s">
        <v>265</v>
      </c>
      <c r="H12" s="19">
        <v>8</v>
      </c>
      <c r="I12" s="24"/>
      <c r="J12" s="24" t="s">
        <v>69</v>
      </c>
      <c r="K12" s="23"/>
      <c r="L12" s="23"/>
      <c r="M12" s="40" t="s">
        <v>265</v>
      </c>
      <c r="O12" s="22">
        <v>8</v>
      </c>
      <c r="P12" s="24"/>
      <c r="Q12" s="24" t="s">
        <v>161</v>
      </c>
      <c r="R12" s="23"/>
      <c r="S12" s="23"/>
      <c r="T12" s="9"/>
    </row>
    <row r="13" spans="1:20" x14ac:dyDescent="0.25">
      <c r="A13" s="18">
        <v>9</v>
      </c>
      <c r="B13" s="23" t="s">
        <v>393</v>
      </c>
      <c r="C13" s="24" t="s">
        <v>392</v>
      </c>
      <c r="D13" s="23" t="s">
        <v>383</v>
      </c>
      <c r="E13" s="124" t="s">
        <v>438</v>
      </c>
      <c r="F13" s="33" t="s">
        <v>265</v>
      </c>
      <c r="H13" s="19">
        <v>9</v>
      </c>
      <c r="I13" s="24"/>
      <c r="J13" s="24" t="s">
        <v>73</v>
      </c>
      <c r="K13" s="23"/>
      <c r="L13" s="23"/>
      <c r="M13" s="40"/>
      <c r="O13" s="22">
        <v>9</v>
      </c>
      <c r="P13" s="24"/>
      <c r="Q13" s="24" t="s">
        <v>165</v>
      </c>
      <c r="R13" s="23"/>
      <c r="S13" s="23"/>
      <c r="T13" s="9" t="s">
        <v>265</v>
      </c>
    </row>
    <row r="14" spans="1:20" x14ac:dyDescent="0.25">
      <c r="A14" s="18">
        <v>10</v>
      </c>
      <c r="B14" s="23" t="s">
        <v>394</v>
      </c>
      <c r="C14" s="24" t="s">
        <v>320</v>
      </c>
      <c r="D14" s="23" t="s">
        <v>386</v>
      </c>
      <c r="E14" s="124" t="s">
        <v>439</v>
      </c>
      <c r="F14" s="33"/>
      <c r="H14" s="19">
        <v>10</v>
      </c>
      <c r="I14" s="24"/>
      <c r="J14" s="24" t="s">
        <v>85</v>
      </c>
      <c r="K14" s="23"/>
      <c r="L14" s="23"/>
      <c r="M14" s="40" t="s">
        <v>265</v>
      </c>
      <c r="O14" s="22">
        <v>10</v>
      </c>
      <c r="P14" s="24"/>
      <c r="Q14" s="24" t="s">
        <v>169</v>
      </c>
      <c r="R14" s="23"/>
      <c r="S14" s="23"/>
      <c r="T14" s="9" t="s">
        <v>265</v>
      </c>
    </row>
    <row r="15" spans="1:20" x14ac:dyDescent="0.25">
      <c r="A15" s="18">
        <v>11</v>
      </c>
      <c r="B15" s="23" t="s">
        <v>396</v>
      </c>
      <c r="C15" s="24" t="s">
        <v>395</v>
      </c>
      <c r="D15" s="23" t="s">
        <v>383</v>
      </c>
      <c r="E15" s="124" t="s">
        <v>440</v>
      </c>
      <c r="F15" s="33" t="s">
        <v>265</v>
      </c>
      <c r="H15" s="19">
        <v>11</v>
      </c>
      <c r="I15" s="24"/>
      <c r="J15" s="24" t="s">
        <v>77</v>
      </c>
      <c r="K15" s="23"/>
      <c r="L15" s="23"/>
      <c r="M15" s="40" t="s">
        <v>265</v>
      </c>
      <c r="O15" s="22">
        <v>11</v>
      </c>
      <c r="P15" s="24"/>
      <c r="Q15" s="24" t="s">
        <v>173</v>
      </c>
      <c r="R15" s="23"/>
      <c r="S15" s="23"/>
      <c r="T15" s="9" t="s">
        <v>265</v>
      </c>
    </row>
    <row r="16" spans="1:20" x14ac:dyDescent="0.25">
      <c r="A16" s="18">
        <v>12</v>
      </c>
      <c r="B16" s="23" t="s">
        <v>398</v>
      </c>
      <c r="C16" s="24" t="s">
        <v>397</v>
      </c>
      <c r="D16" s="23" t="s">
        <v>383</v>
      </c>
      <c r="E16" s="124" t="s">
        <v>441</v>
      </c>
      <c r="F16" s="33"/>
      <c r="H16" s="19">
        <v>12</v>
      </c>
      <c r="I16" s="24"/>
      <c r="J16" s="24" t="s">
        <v>81</v>
      </c>
      <c r="K16" s="23"/>
      <c r="L16" s="23"/>
      <c r="M16" s="40" t="s">
        <v>265</v>
      </c>
      <c r="O16" s="22">
        <v>12</v>
      </c>
      <c r="P16" s="24"/>
      <c r="Q16" s="24" t="s">
        <v>177</v>
      </c>
      <c r="R16" s="23"/>
      <c r="S16" s="23"/>
      <c r="T16" s="9" t="s">
        <v>265</v>
      </c>
    </row>
    <row r="17" spans="1:20" x14ac:dyDescent="0.25">
      <c r="A17" s="18">
        <v>13</v>
      </c>
      <c r="B17" s="23" t="s">
        <v>399</v>
      </c>
      <c r="C17" s="24" t="s">
        <v>321</v>
      </c>
      <c r="D17" s="23" t="s">
        <v>386</v>
      </c>
      <c r="E17" s="124" t="s">
        <v>442</v>
      </c>
      <c r="F17" s="33"/>
      <c r="H17" s="19">
        <v>13</v>
      </c>
      <c r="I17" s="24"/>
      <c r="J17" s="24" t="s">
        <v>93</v>
      </c>
      <c r="K17" s="23"/>
      <c r="L17" s="23"/>
      <c r="M17" s="40"/>
      <c r="O17" s="22">
        <v>13</v>
      </c>
      <c r="P17" s="24"/>
      <c r="Q17" s="24" t="s">
        <v>181</v>
      </c>
      <c r="R17" s="23"/>
      <c r="S17" s="23"/>
      <c r="T17" s="9"/>
    </row>
    <row r="18" spans="1:20" x14ac:dyDescent="0.25">
      <c r="A18" s="18">
        <v>14</v>
      </c>
      <c r="B18" s="23" t="s">
        <v>400</v>
      </c>
      <c r="C18" s="24" t="s">
        <v>322</v>
      </c>
      <c r="D18" s="23" t="s">
        <v>386</v>
      </c>
      <c r="E18" s="124" t="s">
        <v>443</v>
      </c>
      <c r="F18" s="33"/>
      <c r="H18" s="19">
        <v>14</v>
      </c>
      <c r="I18" s="24"/>
      <c r="J18" s="24" t="s">
        <v>97</v>
      </c>
      <c r="K18" s="23"/>
      <c r="L18" s="23"/>
      <c r="M18" s="40"/>
      <c r="O18" s="22">
        <v>14</v>
      </c>
      <c r="P18" s="24"/>
      <c r="Q18" s="24" t="s">
        <v>185</v>
      </c>
      <c r="R18" s="23"/>
      <c r="S18" s="23"/>
      <c r="T18" s="9"/>
    </row>
    <row r="19" spans="1:20" x14ac:dyDescent="0.25">
      <c r="A19" s="18">
        <v>15</v>
      </c>
      <c r="B19" s="23" t="s">
        <v>401</v>
      </c>
      <c r="C19" s="24" t="s">
        <v>323</v>
      </c>
      <c r="D19" s="23" t="s">
        <v>386</v>
      </c>
      <c r="E19" s="124" t="s">
        <v>444</v>
      </c>
      <c r="F19" s="33" t="s">
        <v>265</v>
      </c>
      <c r="H19" s="19">
        <v>15</v>
      </c>
      <c r="I19" s="24"/>
      <c r="J19" s="24" t="s">
        <v>101</v>
      </c>
      <c r="K19" s="23"/>
      <c r="L19" s="23"/>
      <c r="M19" s="40"/>
      <c r="O19" s="22">
        <v>15</v>
      </c>
      <c r="P19" s="24"/>
      <c r="Q19" s="24" t="s">
        <v>189</v>
      </c>
      <c r="R19" s="23"/>
      <c r="S19" s="23"/>
      <c r="T19" s="9" t="s">
        <v>265</v>
      </c>
    </row>
    <row r="20" spans="1:20" x14ac:dyDescent="0.25">
      <c r="A20" s="18">
        <v>16</v>
      </c>
      <c r="B20" s="23" t="s">
        <v>402</v>
      </c>
      <c r="C20" s="24" t="s">
        <v>324</v>
      </c>
      <c r="D20" s="23" t="s">
        <v>383</v>
      </c>
      <c r="E20" s="124" t="s">
        <v>445</v>
      </c>
      <c r="F20" s="33" t="s">
        <v>265</v>
      </c>
      <c r="H20" s="19">
        <v>16</v>
      </c>
      <c r="I20" s="24"/>
      <c r="J20" s="24" t="s">
        <v>105</v>
      </c>
      <c r="K20" s="23"/>
      <c r="L20" s="23"/>
      <c r="M20" s="40" t="s">
        <v>265</v>
      </c>
      <c r="O20" s="22">
        <v>16</v>
      </c>
      <c r="P20" s="24"/>
      <c r="Q20" s="24" t="s">
        <v>193</v>
      </c>
      <c r="R20" s="23"/>
      <c r="S20" s="23"/>
      <c r="T20" s="9" t="s">
        <v>265</v>
      </c>
    </row>
    <row r="21" spans="1:20" x14ac:dyDescent="0.25">
      <c r="A21" s="18">
        <v>17</v>
      </c>
      <c r="B21" s="23" t="s">
        <v>403</v>
      </c>
      <c r="C21" s="24" t="s">
        <v>325</v>
      </c>
      <c r="D21" s="23" t="s">
        <v>386</v>
      </c>
      <c r="E21" s="124" t="s">
        <v>446</v>
      </c>
      <c r="F21" s="33"/>
      <c r="H21" s="19">
        <v>17</v>
      </c>
      <c r="I21" s="24"/>
      <c r="J21" s="37" t="s">
        <v>248</v>
      </c>
      <c r="K21" s="23"/>
      <c r="L21" s="23"/>
      <c r="M21" s="40"/>
      <c r="O21" s="22">
        <v>17</v>
      </c>
      <c r="P21" s="24"/>
      <c r="Q21" s="24" t="s">
        <v>197</v>
      </c>
      <c r="R21" s="23"/>
      <c r="S21" s="23"/>
      <c r="T21" s="9" t="s">
        <v>265</v>
      </c>
    </row>
    <row r="22" spans="1:20" x14ac:dyDescent="0.25">
      <c r="A22" s="18">
        <v>18</v>
      </c>
      <c r="B22" s="23" t="s">
        <v>405</v>
      </c>
      <c r="C22" s="24" t="s">
        <v>404</v>
      </c>
      <c r="D22" s="23" t="s">
        <v>386</v>
      </c>
      <c r="E22" s="124" t="s">
        <v>447</v>
      </c>
      <c r="F22" s="33"/>
      <c r="H22" s="19">
        <v>18</v>
      </c>
      <c r="I22" s="24"/>
      <c r="J22" s="24" t="s">
        <v>109</v>
      </c>
      <c r="K22" s="23"/>
      <c r="L22" s="23"/>
      <c r="M22" s="40" t="s">
        <v>265</v>
      </c>
      <c r="O22" s="22">
        <v>18</v>
      </c>
      <c r="P22" s="24"/>
      <c r="Q22" s="24" t="s">
        <v>201</v>
      </c>
      <c r="R22" s="23"/>
      <c r="S22" s="23"/>
      <c r="T22" s="9"/>
    </row>
    <row r="23" spans="1:20" x14ac:dyDescent="0.25">
      <c r="A23" s="18">
        <v>19</v>
      </c>
      <c r="B23" s="23" t="s">
        <v>406</v>
      </c>
      <c r="C23" s="24" t="s">
        <v>326</v>
      </c>
      <c r="D23" s="23" t="s">
        <v>383</v>
      </c>
      <c r="E23" s="124" t="s">
        <v>448</v>
      </c>
      <c r="F23" s="33" t="s">
        <v>265</v>
      </c>
      <c r="H23" s="19">
        <v>19</v>
      </c>
      <c r="I23" s="24"/>
      <c r="J23" s="24" t="s">
        <v>113</v>
      </c>
      <c r="K23" s="23"/>
      <c r="L23" s="23"/>
      <c r="M23" s="40"/>
      <c r="O23" s="22">
        <v>19</v>
      </c>
      <c r="P23" s="24"/>
      <c r="Q23" s="24" t="s">
        <v>205</v>
      </c>
      <c r="R23" s="23"/>
      <c r="S23" s="23"/>
      <c r="T23" s="9" t="s">
        <v>265</v>
      </c>
    </row>
    <row r="24" spans="1:20" x14ac:dyDescent="0.25">
      <c r="A24" s="18">
        <v>20</v>
      </c>
      <c r="B24" s="23" t="s">
        <v>407</v>
      </c>
      <c r="C24" s="24" t="s">
        <v>327</v>
      </c>
      <c r="D24" s="23" t="s">
        <v>386</v>
      </c>
      <c r="E24" s="124" t="s">
        <v>449</v>
      </c>
      <c r="F24" s="33" t="s">
        <v>265</v>
      </c>
      <c r="H24" s="19">
        <v>20</v>
      </c>
      <c r="I24" s="24"/>
      <c r="J24" s="24" t="s">
        <v>117</v>
      </c>
      <c r="K24" s="23"/>
      <c r="L24" s="23"/>
      <c r="M24" s="40" t="s">
        <v>265</v>
      </c>
      <c r="O24" s="22">
        <v>20</v>
      </c>
      <c r="P24" s="24"/>
      <c r="Q24" s="24" t="s">
        <v>209</v>
      </c>
      <c r="R24" s="23"/>
      <c r="S24" s="23"/>
      <c r="T24" s="9" t="s">
        <v>265</v>
      </c>
    </row>
    <row r="25" spans="1:20" x14ac:dyDescent="0.25">
      <c r="A25" s="18">
        <v>21</v>
      </c>
      <c r="B25" s="23"/>
      <c r="C25" s="24"/>
      <c r="D25" s="23"/>
      <c r="E25" s="23"/>
      <c r="F25" s="33"/>
      <c r="H25" s="19">
        <v>21</v>
      </c>
      <c r="I25" s="24"/>
      <c r="J25" s="24" t="s">
        <v>120</v>
      </c>
      <c r="K25" s="23"/>
      <c r="L25" s="23"/>
      <c r="M25" s="40" t="s">
        <v>265</v>
      </c>
      <c r="O25" s="22">
        <v>21</v>
      </c>
      <c r="P25" s="24"/>
      <c r="Q25" s="24" t="s">
        <v>213</v>
      </c>
      <c r="R25" s="23"/>
      <c r="S25" s="23"/>
      <c r="T25" s="9"/>
    </row>
    <row r="26" spans="1:20" x14ac:dyDescent="0.25">
      <c r="A26" s="18">
        <v>22</v>
      </c>
      <c r="B26" s="23"/>
      <c r="C26" s="24"/>
      <c r="D26" s="23"/>
      <c r="E26" s="23"/>
      <c r="F26" s="33"/>
      <c r="H26" s="19">
        <v>22</v>
      </c>
      <c r="I26" s="24"/>
      <c r="J26" s="24" t="s">
        <v>124</v>
      </c>
      <c r="K26" s="23"/>
      <c r="L26" s="23"/>
      <c r="M26" s="40"/>
      <c r="O26" s="22">
        <v>22</v>
      </c>
      <c r="P26" s="24"/>
      <c r="Q26" s="24" t="s">
        <v>217</v>
      </c>
      <c r="R26" s="23"/>
      <c r="S26" s="23"/>
      <c r="T26" s="9" t="s">
        <v>265</v>
      </c>
    </row>
    <row r="27" spans="1:20" x14ac:dyDescent="0.25">
      <c r="A27" s="18">
        <v>23</v>
      </c>
      <c r="B27" s="23"/>
      <c r="C27" s="24"/>
      <c r="D27" s="23"/>
      <c r="E27" s="23"/>
      <c r="F27" s="33"/>
      <c r="H27" s="19">
        <v>23</v>
      </c>
      <c r="I27" s="24"/>
      <c r="J27" s="24" t="s">
        <v>128</v>
      </c>
      <c r="K27" s="23"/>
      <c r="L27" s="23"/>
      <c r="M27" s="40"/>
      <c r="O27" s="22">
        <v>23</v>
      </c>
      <c r="P27" s="24"/>
      <c r="Q27" s="24" t="s">
        <v>221</v>
      </c>
      <c r="R27" s="23"/>
      <c r="S27" s="23"/>
      <c r="T27" s="9"/>
    </row>
    <row r="28" spans="1:20" x14ac:dyDescent="0.25">
      <c r="A28" s="18">
        <v>24</v>
      </c>
      <c r="B28" s="23"/>
      <c r="C28" s="24"/>
      <c r="D28" s="23"/>
      <c r="E28" s="23"/>
      <c r="F28" s="33"/>
      <c r="H28" s="19">
        <v>24</v>
      </c>
      <c r="I28" s="24"/>
      <c r="J28" s="24"/>
      <c r="K28" s="23"/>
      <c r="L28" s="23"/>
      <c r="M28" s="40"/>
      <c r="O28" s="22">
        <v>24</v>
      </c>
      <c r="P28" s="24"/>
      <c r="Q28" s="24"/>
      <c r="R28" s="23"/>
      <c r="S28" s="23"/>
      <c r="T28" s="9"/>
    </row>
    <row r="31" spans="1:20" x14ac:dyDescent="0.25">
      <c r="A31" s="13" t="s">
        <v>234</v>
      </c>
      <c r="B31" s="15">
        <v>10.199999999999999</v>
      </c>
      <c r="H31" s="13" t="s">
        <v>234</v>
      </c>
      <c r="I31" s="15">
        <v>8.1999999999999993</v>
      </c>
      <c r="O31" s="13" t="s">
        <v>234</v>
      </c>
      <c r="P31" s="15">
        <v>9.1999999999999993</v>
      </c>
    </row>
    <row r="32" spans="1:20" x14ac:dyDescent="0.25">
      <c r="A32" s="16" t="s">
        <v>230</v>
      </c>
      <c r="B32" s="16" t="s">
        <v>28</v>
      </c>
      <c r="C32" s="16" t="s">
        <v>231</v>
      </c>
      <c r="D32" s="16" t="s">
        <v>232</v>
      </c>
      <c r="E32" s="16" t="s">
        <v>233</v>
      </c>
      <c r="F32" s="16" t="s">
        <v>247</v>
      </c>
      <c r="H32" s="20" t="s">
        <v>230</v>
      </c>
      <c r="I32" s="20" t="s">
        <v>28</v>
      </c>
      <c r="J32" s="20" t="s">
        <v>231</v>
      </c>
      <c r="K32" s="20" t="s">
        <v>232</v>
      </c>
      <c r="L32" s="20" t="s">
        <v>233</v>
      </c>
      <c r="M32" s="20" t="s">
        <v>247</v>
      </c>
      <c r="O32" s="21" t="s">
        <v>230</v>
      </c>
      <c r="P32" s="21" t="s">
        <v>28</v>
      </c>
      <c r="Q32" s="21" t="s">
        <v>231</v>
      </c>
      <c r="R32" s="21" t="s">
        <v>232</v>
      </c>
      <c r="S32" s="21" t="s">
        <v>233</v>
      </c>
      <c r="T32" s="21" t="s">
        <v>247</v>
      </c>
    </row>
    <row r="33" spans="1:20" x14ac:dyDescent="0.25">
      <c r="A33" s="18">
        <v>1</v>
      </c>
      <c r="B33" s="23" t="s">
        <v>408</v>
      </c>
      <c r="C33" s="24" t="s">
        <v>328</v>
      </c>
      <c r="D33" s="23" t="s">
        <v>386</v>
      </c>
      <c r="E33" s="124" t="s">
        <v>438</v>
      </c>
      <c r="F33" s="33" t="s">
        <v>265</v>
      </c>
      <c r="H33" s="19">
        <v>1</v>
      </c>
      <c r="I33" s="24"/>
      <c r="J33" s="24" t="s">
        <v>42</v>
      </c>
      <c r="K33" s="23"/>
      <c r="L33" s="23"/>
      <c r="M33" s="33"/>
      <c r="O33" s="22">
        <v>1</v>
      </c>
      <c r="P33" s="24"/>
      <c r="Q33" s="24" t="s">
        <v>134</v>
      </c>
      <c r="R33" s="23"/>
      <c r="S33" s="23"/>
      <c r="T33" s="9"/>
    </row>
    <row r="34" spans="1:20" x14ac:dyDescent="0.25">
      <c r="A34" s="18">
        <v>2</v>
      </c>
      <c r="B34" s="23" t="s">
        <v>419</v>
      </c>
      <c r="C34" s="24" t="s">
        <v>329</v>
      </c>
      <c r="D34" s="23" t="s">
        <v>386</v>
      </c>
      <c r="E34" s="124" t="s">
        <v>450</v>
      </c>
      <c r="F34" s="33"/>
      <c r="H34" s="19">
        <v>2</v>
      </c>
      <c r="I34" s="24"/>
      <c r="J34" s="24" t="s">
        <v>46</v>
      </c>
      <c r="K34" s="23"/>
      <c r="L34" s="23"/>
      <c r="M34" s="33"/>
      <c r="O34" s="22">
        <v>2</v>
      </c>
      <c r="P34" s="24"/>
      <c r="Q34" s="24" t="s">
        <v>138</v>
      </c>
      <c r="R34" s="23"/>
      <c r="S34" s="23"/>
      <c r="T34" s="9"/>
    </row>
    <row r="35" spans="1:20" x14ac:dyDescent="0.25">
      <c r="A35" s="18">
        <v>3</v>
      </c>
      <c r="B35" s="23" t="s">
        <v>420</v>
      </c>
      <c r="C35" s="24" t="s">
        <v>330</v>
      </c>
      <c r="D35" s="23" t="s">
        <v>386</v>
      </c>
      <c r="E35" s="124" t="s">
        <v>451</v>
      </c>
      <c r="F35" s="33" t="s">
        <v>265</v>
      </c>
      <c r="H35" s="19">
        <v>3</v>
      </c>
      <c r="I35" s="24"/>
      <c r="J35" s="24" t="s">
        <v>50</v>
      </c>
      <c r="K35" s="23"/>
      <c r="L35" s="23"/>
      <c r="M35" s="33"/>
      <c r="O35" s="22">
        <v>3</v>
      </c>
      <c r="P35" s="24"/>
      <c r="Q35" s="24" t="s">
        <v>142</v>
      </c>
      <c r="R35" s="23"/>
      <c r="S35" s="23"/>
      <c r="T35" s="9"/>
    </row>
    <row r="36" spans="1:20" x14ac:dyDescent="0.25">
      <c r="A36" s="18">
        <v>4</v>
      </c>
      <c r="B36" s="23" t="s">
        <v>421</v>
      </c>
      <c r="C36" s="24" t="s">
        <v>331</v>
      </c>
      <c r="D36" s="23" t="s">
        <v>383</v>
      </c>
      <c r="E36" s="124" t="s">
        <v>452</v>
      </c>
      <c r="F36" s="33"/>
      <c r="H36" s="19">
        <v>4</v>
      </c>
      <c r="I36" s="24"/>
      <c r="J36" s="24" t="s">
        <v>54</v>
      </c>
      <c r="K36" s="23"/>
      <c r="L36" s="23"/>
      <c r="M36" s="33"/>
      <c r="O36" s="22">
        <v>4</v>
      </c>
      <c r="P36" s="24"/>
      <c r="Q36" s="24" t="s">
        <v>146</v>
      </c>
      <c r="R36" s="23"/>
      <c r="S36" s="23"/>
      <c r="T36" s="9"/>
    </row>
    <row r="37" spans="1:20" x14ac:dyDescent="0.25">
      <c r="A37" s="18">
        <v>5</v>
      </c>
      <c r="B37" s="23" t="s">
        <v>422</v>
      </c>
      <c r="C37" s="24" t="s">
        <v>409</v>
      </c>
      <c r="D37" s="23" t="s">
        <v>386</v>
      </c>
      <c r="E37" s="124" t="s">
        <v>453</v>
      </c>
      <c r="F37" s="33" t="s">
        <v>265</v>
      </c>
      <c r="H37" s="19">
        <v>5</v>
      </c>
      <c r="I37" s="24"/>
      <c r="J37" s="24" t="s">
        <v>58</v>
      </c>
      <c r="K37" s="23"/>
      <c r="L37" s="23"/>
      <c r="M37" s="33"/>
      <c r="O37" s="22">
        <v>5</v>
      </c>
      <c r="P37" s="24"/>
      <c r="Q37" s="24" t="s">
        <v>150</v>
      </c>
      <c r="R37" s="23"/>
      <c r="S37" s="23"/>
      <c r="T37" s="9" t="s">
        <v>265</v>
      </c>
    </row>
    <row r="38" spans="1:20" x14ac:dyDescent="0.25">
      <c r="A38" s="18">
        <v>6</v>
      </c>
      <c r="B38" s="23" t="s">
        <v>423</v>
      </c>
      <c r="C38" s="24" t="s">
        <v>410</v>
      </c>
      <c r="D38" s="23" t="s">
        <v>383</v>
      </c>
      <c r="E38" s="124" t="s">
        <v>454</v>
      </c>
      <c r="F38" s="33"/>
      <c r="H38" s="19">
        <v>6</v>
      </c>
      <c r="I38" s="24"/>
      <c r="J38" s="24" t="s">
        <v>62</v>
      </c>
      <c r="K38" s="23"/>
      <c r="L38" s="23"/>
      <c r="M38" s="33" t="s">
        <v>265</v>
      </c>
      <c r="O38" s="22">
        <v>6</v>
      </c>
      <c r="P38" s="24"/>
      <c r="Q38" s="24" t="s">
        <v>154</v>
      </c>
      <c r="R38" s="23"/>
      <c r="S38" s="23"/>
      <c r="T38" s="9" t="s">
        <v>265</v>
      </c>
    </row>
    <row r="39" spans="1:20" x14ac:dyDescent="0.25">
      <c r="A39" s="18">
        <v>7</v>
      </c>
      <c r="B39" s="23" t="s">
        <v>424</v>
      </c>
      <c r="C39" s="24" t="s">
        <v>411</v>
      </c>
      <c r="D39" s="23" t="s">
        <v>383</v>
      </c>
      <c r="E39" s="124" t="s">
        <v>455</v>
      </c>
      <c r="F39" s="33"/>
      <c r="H39" s="19">
        <v>7</v>
      </c>
      <c r="I39" s="24"/>
      <c r="J39" s="24" t="s">
        <v>66</v>
      </c>
      <c r="K39" s="23"/>
      <c r="L39" s="23"/>
      <c r="M39" s="33" t="s">
        <v>265</v>
      </c>
      <c r="O39" s="22">
        <v>7</v>
      </c>
      <c r="P39" s="24"/>
      <c r="Q39" s="24" t="s">
        <v>158</v>
      </c>
      <c r="R39" s="23"/>
      <c r="S39" s="23"/>
      <c r="T39" s="9"/>
    </row>
    <row r="40" spans="1:20" x14ac:dyDescent="0.25">
      <c r="A40" s="18">
        <v>8</v>
      </c>
      <c r="B40" s="23" t="s">
        <v>425</v>
      </c>
      <c r="C40" s="24" t="s">
        <v>412</v>
      </c>
      <c r="D40" s="23" t="s">
        <v>383</v>
      </c>
      <c r="E40" s="124" t="s">
        <v>456</v>
      </c>
      <c r="F40" s="33"/>
      <c r="H40" s="19">
        <v>8</v>
      </c>
      <c r="I40" s="24"/>
      <c r="J40" s="24" t="s">
        <v>70</v>
      </c>
      <c r="K40" s="23"/>
      <c r="L40" s="23"/>
      <c r="M40" s="33" t="s">
        <v>265</v>
      </c>
      <c r="O40" s="22">
        <v>8</v>
      </c>
      <c r="P40" s="24"/>
      <c r="Q40" s="24" t="s">
        <v>162</v>
      </c>
      <c r="R40" s="23"/>
      <c r="S40" s="23"/>
      <c r="T40" s="9"/>
    </row>
    <row r="41" spans="1:20" x14ac:dyDescent="0.25">
      <c r="A41" s="18">
        <v>9</v>
      </c>
      <c r="B41" s="23" t="s">
        <v>426</v>
      </c>
      <c r="C41" s="24" t="s">
        <v>413</v>
      </c>
      <c r="D41" s="23" t="s">
        <v>386</v>
      </c>
      <c r="E41" s="23" t="s">
        <v>457</v>
      </c>
      <c r="F41" s="33"/>
      <c r="H41" s="19">
        <v>9</v>
      </c>
      <c r="I41" s="24"/>
      <c r="J41" s="24" t="s">
        <v>74</v>
      </c>
      <c r="K41" s="23"/>
      <c r="L41" s="23"/>
      <c r="M41" s="33"/>
      <c r="O41" s="22">
        <v>9</v>
      </c>
      <c r="P41" s="24"/>
      <c r="Q41" s="24" t="s">
        <v>166</v>
      </c>
      <c r="R41" s="23"/>
      <c r="S41" s="23"/>
      <c r="T41" s="9"/>
    </row>
    <row r="42" spans="1:20" x14ac:dyDescent="0.25">
      <c r="A42" s="18">
        <v>10</v>
      </c>
      <c r="B42" s="23" t="s">
        <v>427</v>
      </c>
      <c r="C42" s="24" t="s">
        <v>414</v>
      </c>
      <c r="D42" s="23" t="s">
        <v>383</v>
      </c>
      <c r="E42" s="124" t="s">
        <v>458</v>
      </c>
      <c r="F42" s="33"/>
      <c r="H42" s="19">
        <v>10</v>
      </c>
      <c r="I42" s="24"/>
      <c r="J42" s="24" t="s">
        <v>78</v>
      </c>
      <c r="K42" s="23"/>
      <c r="L42" s="23"/>
      <c r="M42" s="33"/>
      <c r="O42" s="22">
        <v>10</v>
      </c>
      <c r="P42" s="24"/>
      <c r="Q42" s="24" t="s">
        <v>170</v>
      </c>
      <c r="R42" s="23"/>
      <c r="S42" s="23"/>
      <c r="T42" s="9" t="s">
        <v>265</v>
      </c>
    </row>
    <row r="43" spans="1:20" x14ac:dyDescent="0.25">
      <c r="A43" s="18">
        <v>11</v>
      </c>
      <c r="B43" s="23" t="s">
        <v>428</v>
      </c>
      <c r="C43" s="24" t="s">
        <v>415</v>
      </c>
      <c r="D43" s="23" t="s">
        <v>383</v>
      </c>
      <c r="E43" s="124" t="s">
        <v>459</v>
      </c>
      <c r="F43" s="33" t="s">
        <v>265</v>
      </c>
      <c r="H43" s="19">
        <v>11</v>
      </c>
      <c r="I43" s="24"/>
      <c r="J43" s="24" t="s">
        <v>82</v>
      </c>
      <c r="K43" s="23"/>
      <c r="L43" s="23"/>
      <c r="M43" s="33" t="s">
        <v>265</v>
      </c>
      <c r="O43" s="22">
        <v>11</v>
      </c>
      <c r="P43" s="24"/>
      <c r="Q43" s="24" t="s">
        <v>174</v>
      </c>
      <c r="R43" s="23"/>
      <c r="S43" s="23"/>
      <c r="T43" s="9" t="s">
        <v>265</v>
      </c>
    </row>
    <row r="44" spans="1:20" x14ac:dyDescent="0.25">
      <c r="A44" s="18">
        <v>12</v>
      </c>
      <c r="B44" s="23" t="s">
        <v>466</v>
      </c>
      <c r="C44" s="24" t="s">
        <v>332</v>
      </c>
      <c r="D44" s="23" t="s">
        <v>386</v>
      </c>
      <c r="E44" s="124" t="s">
        <v>460</v>
      </c>
      <c r="F44" s="33" t="s">
        <v>265</v>
      </c>
      <c r="H44" s="19">
        <v>12</v>
      </c>
      <c r="I44" s="24"/>
      <c r="J44" s="24" t="s">
        <v>86</v>
      </c>
      <c r="K44" s="23"/>
      <c r="L44" s="23"/>
      <c r="M44" s="33"/>
      <c r="O44" s="22">
        <v>12</v>
      </c>
      <c r="P44" s="24"/>
      <c r="Q44" s="24" t="s">
        <v>178</v>
      </c>
      <c r="R44" s="23"/>
      <c r="S44" s="23"/>
      <c r="T44" s="9" t="s">
        <v>265</v>
      </c>
    </row>
    <row r="45" spans="1:20" x14ac:dyDescent="0.25">
      <c r="A45" s="18">
        <v>13</v>
      </c>
      <c r="B45" s="23" t="s">
        <v>429</v>
      </c>
      <c r="C45" s="24" t="s">
        <v>333</v>
      </c>
      <c r="D45" s="23" t="s">
        <v>383</v>
      </c>
      <c r="E45" s="124" t="s">
        <v>461</v>
      </c>
      <c r="F45" s="33" t="s">
        <v>265</v>
      </c>
      <c r="H45" s="19">
        <v>13</v>
      </c>
      <c r="I45" s="24"/>
      <c r="J45" s="24" t="s">
        <v>90</v>
      </c>
      <c r="K45" s="23"/>
      <c r="L45" s="23"/>
      <c r="M45" s="33" t="s">
        <v>265</v>
      </c>
      <c r="O45" s="22">
        <v>13</v>
      </c>
      <c r="P45" s="24"/>
      <c r="Q45" s="24" t="s">
        <v>182</v>
      </c>
      <c r="R45" s="23"/>
      <c r="S45" s="23"/>
      <c r="T45" s="9"/>
    </row>
    <row r="46" spans="1:20" x14ac:dyDescent="0.25">
      <c r="A46" s="18">
        <v>14</v>
      </c>
      <c r="B46" s="23" t="s">
        <v>462</v>
      </c>
      <c r="C46" s="24" t="s">
        <v>334</v>
      </c>
      <c r="D46" s="23" t="s">
        <v>383</v>
      </c>
      <c r="E46" s="124" t="s">
        <v>463</v>
      </c>
      <c r="F46" s="33"/>
      <c r="H46" s="19">
        <v>14</v>
      </c>
      <c r="I46" s="24"/>
      <c r="J46" s="24" t="s">
        <v>94</v>
      </c>
      <c r="K46" s="23"/>
      <c r="L46" s="23"/>
      <c r="M46" s="33"/>
      <c r="O46" s="22">
        <v>14</v>
      </c>
      <c r="P46" s="24"/>
      <c r="Q46" s="24" t="s">
        <v>186</v>
      </c>
      <c r="R46" s="23"/>
      <c r="S46" s="23"/>
      <c r="T46" s="9"/>
    </row>
    <row r="47" spans="1:20" x14ac:dyDescent="0.25">
      <c r="A47" s="18">
        <v>15</v>
      </c>
      <c r="B47" s="23" t="s">
        <v>464</v>
      </c>
      <c r="C47" s="24" t="s">
        <v>416</v>
      </c>
      <c r="D47" s="23" t="s">
        <v>386</v>
      </c>
      <c r="E47" s="124" t="s">
        <v>465</v>
      </c>
      <c r="F47" s="33" t="s">
        <v>265</v>
      </c>
      <c r="H47" s="19">
        <v>15</v>
      </c>
      <c r="I47" s="24"/>
      <c r="J47" s="24" t="s">
        <v>98</v>
      </c>
      <c r="K47" s="23"/>
      <c r="L47" s="23"/>
      <c r="M47" s="33" t="s">
        <v>265</v>
      </c>
      <c r="O47" s="22">
        <v>15</v>
      </c>
      <c r="P47" s="24"/>
      <c r="Q47" s="24" t="s">
        <v>190</v>
      </c>
      <c r="R47" s="23"/>
      <c r="S47" s="23"/>
      <c r="T47" s="9" t="s">
        <v>265</v>
      </c>
    </row>
    <row r="48" spans="1:20" x14ac:dyDescent="0.25">
      <c r="A48" s="18">
        <v>16</v>
      </c>
      <c r="B48" s="23" t="s">
        <v>467</v>
      </c>
      <c r="C48" s="24" t="s">
        <v>417</v>
      </c>
      <c r="D48" s="23" t="s">
        <v>383</v>
      </c>
      <c r="E48" s="124" t="s">
        <v>468</v>
      </c>
      <c r="F48" s="33" t="s">
        <v>265</v>
      </c>
      <c r="H48" s="19">
        <v>16</v>
      </c>
      <c r="I48" s="24"/>
      <c r="J48" s="24" t="s">
        <v>102</v>
      </c>
      <c r="K48" s="23"/>
      <c r="L48" s="23"/>
      <c r="M48" s="33" t="s">
        <v>265</v>
      </c>
      <c r="O48" s="22">
        <v>16</v>
      </c>
      <c r="P48" s="24"/>
      <c r="Q48" s="24" t="s">
        <v>194</v>
      </c>
      <c r="R48" s="23"/>
      <c r="S48" s="23"/>
      <c r="T48" s="9"/>
    </row>
    <row r="49" spans="1:20" x14ac:dyDescent="0.25">
      <c r="A49" s="18">
        <v>17</v>
      </c>
      <c r="B49" s="23" t="s">
        <v>469</v>
      </c>
      <c r="C49" s="24" t="s">
        <v>335</v>
      </c>
      <c r="D49" s="23" t="s">
        <v>386</v>
      </c>
      <c r="E49" s="124" t="s">
        <v>470</v>
      </c>
      <c r="F49" s="33"/>
      <c r="H49" s="19">
        <v>17</v>
      </c>
      <c r="I49" s="24"/>
      <c r="J49" s="24" t="s">
        <v>106</v>
      </c>
      <c r="K49" s="23"/>
      <c r="L49" s="23"/>
      <c r="M49" s="33" t="s">
        <v>265</v>
      </c>
      <c r="O49" s="22">
        <v>17</v>
      </c>
      <c r="P49" s="24"/>
      <c r="Q49" s="24" t="s">
        <v>198</v>
      </c>
      <c r="R49" s="23"/>
      <c r="S49" s="23"/>
      <c r="T49" s="9" t="s">
        <v>265</v>
      </c>
    </row>
    <row r="50" spans="1:20" x14ac:dyDescent="0.25">
      <c r="A50" s="18">
        <v>18</v>
      </c>
      <c r="B50" s="23" t="s">
        <v>471</v>
      </c>
      <c r="C50" s="24" t="s">
        <v>336</v>
      </c>
      <c r="D50" s="23" t="s">
        <v>383</v>
      </c>
      <c r="E50" s="124" t="s">
        <v>447</v>
      </c>
      <c r="F50" s="33" t="s">
        <v>265</v>
      </c>
      <c r="H50" s="19">
        <v>18</v>
      </c>
      <c r="I50" s="24"/>
      <c r="J50" s="24" t="s">
        <v>110</v>
      </c>
      <c r="K50" s="23"/>
      <c r="L50" s="23"/>
      <c r="M50" s="33" t="s">
        <v>265</v>
      </c>
      <c r="O50" s="22">
        <v>18</v>
      </c>
      <c r="P50" s="24"/>
      <c r="Q50" s="24" t="s">
        <v>202</v>
      </c>
      <c r="R50" s="23"/>
      <c r="S50" s="23"/>
      <c r="T50" s="9" t="s">
        <v>265</v>
      </c>
    </row>
    <row r="51" spans="1:20" x14ac:dyDescent="0.25">
      <c r="A51" s="18">
        <v>19</v>
      </c>
      <c r="B51" s="23" t="s">
        <v>472</v>
      </c>
      <c r="C51" s="24" t="s">
        <v>337</v>
      </c>
      <c r="D51" s="23" t="s">
        <v>386</v>
      </c>
      <c r="E51" s="124" t="s">
        <v>473</v>
      </c>
      <c r="F51" s="33"/>
      <c r="H51" s="19">
        <v>19</v>
      </c>
      <c r="I51" s="24"/>
      <c r="J51" s="24" t="s">
        <v>114</v>
      </c>
      <c r="K51" s="23"/>
      <c r="L51" s="23"/>
      <c r="M51" s="33"/>
      <c r="O51" s="22">
        <v>19</v>
      </c>
      <c r="P51" s="24"/>
      <c r="Q51" s="24" t="s">
        <v>206</v>
      </c>
      <c r="R51" s="23"/>
      <c r="S51" s="23"/>
      <c r="T51" s="9"/>
    </row>
    <row r="52" spans="1:20" x14ac:dyDescent="0.25">
      <c r="A52" s="18">
        <v>20</v>
      </c>
      <c r="B52" s="124" t="s">
        <v>474</v>
      </c>
      <c r="C52" s="24" t="s">
        <v>418</v>
      </c>
      <c r="D52" s="23" t="s">
        <v>383</v>
      </c>
      <c r="E52" s="124" t="s">
        <v>475</v>
      </c>
      <c r="F52" s="33" t="s">
        <v>265</v>
      </c>
      <c r="H52" s="19">
        <v>20</v>
      </c>
      <c r="I52" s="24"/>
      <c r="J52" s="24" t="s">
        <v>118</v>
      </c>
      <c r="K52" s="23"/>
      <c r="L52" s="23"/>
      <c r="M52" s="33"/>
      <c r="O52" s="22">
        <v>20</v>
      </c>
      <c r="P52" s="24"/>
      <c r="Q52" s="24" t="s">
        <v>210</v>
      </c>
      <c r="R52" s="23"/>
      <c r="S52" s="23"/>
      <c r="T52" s="9" t="s">
        <v>265</v>
      </c>
    </row>
    <row r="53" spans="1:20" x14ac:dyDescent="0.25">
      <c r="A53" s="18">
        <v>21</v>
      </c>
      <c r="B53" s="23"/>
      <c r="C53" s="24"/>
      <c r="D53" s="23"/>
      <c r="E53" s="23"/>
      <c r="F53" s="33"/>
      <c r="H53" s="19">
        <v>21</v>
      </c>
      <c r="I53" s="24"/>
      <c r="J53" s="24" t="s">
        <v>121</v>
      </c>
      <c r="K53" s="23"/>
      <c r="L53" s="23"/>
      <c r="M53" s="33"/>
      <c r="O53" s="22">
        <v>21</v>
      </c>
      <c r="P53" s="24"/>
      <c r="Q53" s="24" t="s">
        <v>214</v>
      </c>
      <c r="R53" s="23"/>
      <c r="S53" s="23"/>
      <c r="T53" s="9"/>
    </row>
    <row r="54" spans="1:20" x14ac:dyDescent="0.25">
      <c r="A54" s="18">
        <v>22</v>
      </c>
      <c r="B54" s="23"/>
      <c r="C54" s="24"/>
      <c r="D54" s="23"/>
      <c r="E54" s="23"/>
      <c r="F54" s="33"/>
      <c r="H54" s="19">
        <v>22</v>
      </c>
      <c r="I54" s="24"/>
      <c r="J54" s="24" t="s">
        <v>125</v>
      </c>
      <c r="K54" s="23"/>
      <c r="L54" s="23"/>
      <c r="M54" s="33" t="s">
        <v>265</v>
      </c>
      <c r="O54" s="22">
        <v>22</v>
      </c>
      <c r="P54" s="24"/>
      <c r="Q54" s="24" t="s">
        <v>218</v>
      </c>
      <c r="R54" s="23"/>
      <c r="S54" s="23"/>
      <c r="T54" s="9"/>
    </row>
    <row r="55" spans="1:20" x14ac:dyDescent="0.25">
      <c r="A55" s="18">
        <v>23</v>
      </c>
      <c r="B55" s="23"/>
      <c r="C55" s="24"/>
      <c r="D55" s="23"/>
      <c r="E55" s="23"/>
      <c r="F55" s="33"/>
      <c r="H55" s="19">
        <v>23</v>
      </c>
      <c r="I55" s="24"/>
      <c r="J55" s="24" t="s">
        <v>129</v>
      </c>
      <c r="K55" s="23"/>
      <c r="L55" s="23"/>
      <c r="M55" s="33"/>
      <c r="O55" s="22">
        <v>23</v>
      </c>
      <c r="P55" s="24"/>
      <c r="Q55" s="24" t="s">
        <v>222</v>
      </c>
      <c r="R55" s="23"/>
      <c r="S55" s="23"/>
      <c r="T55" s="9"/>
    </row>
    <row r="56" spans="1:20" x14ac:dyDescent="0.25">
      <c r="A56" s="18">
        <v>24</v>
      </c>
      <c r="B56" s="23"/>
      <c r="C56" s="24"/>
      <c r="D56" s="23"/>
      <c r="E56" s="23"/>
      <c r="F56" s="33"/>
      <c r="H56" s="19">
        <v>24</v>
      </c>
      <c r="I56" s="24"/>
      <c r="J56" s="24"/>
      <c r="K56" s="23"/>
      <c r="L56" s="23"/>
      <c r="M56" s="33"/>
      <c r="O56" s="22">
        <v>24</v>
      </c>
      <c r="P56" s="24"/>
      <c r="Q56" s="24" t="s">
        <v>249</v>
      </c>
      <c r="R56" s="23"/>
      <c r="S56" s="23"/>
      <c r="T56" s="9" t="s">
        <v>265</v>
      </c>
    </row>
    <row r="59" spans="1:20" x14ac:dyDescent="0.25">
      <c r="A59" s="13" t="s">
        <v>234</v>
      </c>
      <c r="B59" s="15">
        <v>10.3</v>
      </c>
      <c r="H59" s="13" t="s">
        <v>234</v>
      </c>
      <c r="I59" s="15">
        <v>8.3000000000000007</v>
      </c>
      <c r="O59" s="13" t="s">
        <v>234</v>
      </c>
      <c r="P59" s="15">
        <v>9.3000000000000007</v>
      </c>
    </row>
    <row r="60" spans="1:20" x14ac:dyDescent="0.25">
      <c r="A60" s="16" t="s">
        <v>230</v>
      </c>
      <c r="B60" s="16" t="s">
        <v>28</v>
      </c>
      <c r="C60" s="16" t="s">
        <v>231</v>
      </c>
      <c r="D60" s="16" t="s">
        <v>232</v>
      </c>
      <c r="E60" s="16" t="s">
        <v>233</v>
      </c>
      <c r="F60" s="16" t="s">
        <v>247</v>
      </c>
      <c r="H60" s="20" t="s">
        <v>230</v>
      </c>
      <c r="I60" s="20" t="s">
        <v>28</v>
      </c>
      <c r="J60" s="20" t="s">
        <v>231</v>
      </c>
      <c r="K60" s="20" t="s">
        <v>232</v>
      </c>
      <c r="L60" s="20" t="s">
        <v>233</v>
      </c>
      <c r="M60" s="20" t="s">
        <v>247</v>
      </c>
      <c r="O60" s="21" t="s">
        <v>230</v>
      </c>
      <c r="P60" s="21" t="s">
        <v>28</v>
      </c>
      <c r="Q60" s="21" t="s">
        <v>231</v>
      </c>
      <c r="R60" s="21" t="s">
        <v>232</v>
      </c>
      <c r="S60" s="21" t="s">
        <v>233</v>
      </c>
      <c r="T60" s="21" t="s">
        <v>247</v>
      </c>
    </row>
    <row r="61" spans="1:20" x14ac:dyDescent="0.25">
      <c r="A61" s="18">
        <v>1</v>
      </c>
      <c r="B61" s="124" t="s">
        <v>477</v>
      </c>
      <c r="C61" s="24" t="s">
        <v>338</v>
      </c>
      <c r="D61" s="23" t="s">
        <v>383</v>
      </c>
      <c r="E61" s="23" t="s">
        <v>480</v>
      </c>
      <c r="F61" s="33"/>
      <c r="H61" s="19">
        <v>1</v>
      </c>
      <c r="I61" s="24"/>
      <c r="J61" s="24" t="s">
        <v>43</v>
      </c>
      <c r="K61" s="23"/>
      <c r="L61" s="23"/>
      <c r="M61" s="33" t="s">
        <v>265</v>
      </c>
      <c r="O61" s="22">
        <v>1</v>
      </c>
      <c r="P61" s="24"/>
      <c r="Q61" s="24" t="s">
        <v>135</v>
      </c>
      <c r="R61" s="23"/>
      <c r="S61" s="23"/>
      <c r="T61" s="9" t="s">
        <v>265</v>
      </c>
    </row>
    <row r="62" spans="1:20" x14ac:dyDescent="0.25">
      <c r="A62" s="18">
        <v>2</v>
      </c>
      <c r="B62" s="23" t="s">
        <v>479</v>
      </c>
      <c r="C62" s="24" t="s">
        <v>339</v>
      </c>
      <c r="D62" s="23" t="s">
        <v>383</v>
      </c>
      <c r="E62" s="23" t="s">
        <v>481</v>
      </c>
      <c r="F62" s="33" t="s">
        <v>265</v>
      </c>
      <c r="H62" s="19">
        <v>2</v>
      </c>
      <c r="I62" s="24"/>
      <c r="J62" s="24" t="s">
        <v>47</v>
      </c>
      <c r="K62" s="23"/>
      <c r="L62" s="23"/>
      <c r="M62" s="33"/>
      <c r="O62" s="22">
        <v>2</v>
      </c>
      <c r="P62" s="24"/>
      <c r="Q62" s="24" t="s">
        <v>139</v>
      </c>
      <c r="R62" s="23"/>
      <c r="S62" s="23"/>
      <c r="T62" s="9"/>
    </row>
    <row r="63" spans="1:20" x14ac:dyDescent="0.25">
      <c r="A63" s="18">
        <v>3</v>
      </c>
      <c r="B63" s="124" t="s">
        <v>482</v>
      </c>
      <c r="C63" s="24" t="s">
        <v>476</v>
      </c>
      <c r="D63" s="23" t="s">
        <v>386</v>
      </c>
      <c r="E63" s="23" t="s">
        <v>483</v>
      </c>
      <c r="F63" s="33"/>
      <c r="H63" s="19">
        <v>3</v>
      </c>
      <c r="I63" s="24"/>
      <c r="J63" s="24" t="s">
        <v>51</v>
      </c>
      <c r="K63" s="23"/>
      <c r="L63" s="23"/>
      <c r="M63" s="33" t="s">
        <v>265</v>
      </c>
      <c r="O63" s="22">
        <v>3</v>
      </c>
      <c r="P63" s="24"/>
      <c r="Q63" s="24" t="s">
        <v>143</v>
      </c>
      <c r="R63" s="23"/>
      <c r="S63" s="23"/>
      <c r="T63" s="9" t="s">
        <v>265</v>
      </c>
    </row>
    <row r="64" spans="1:20" x14ac:dyDescent="0.25">
      <c r="A64" s="18">
        <v>4</v>
      </c>
      <c r="B64" s="23" t="s">
        <v>484</v>
      </c>
      <c r="C64" s="24" t="s">
        <v>340</v>
      </c>
      <c r="D64" s="23" t="s">
        <v>383</v>
      </c>
      <c r="E64" s="23" t="s">
        <v>485</v>
      </c>
      <c r="F64" s="33"/>
      <c r="H64" s="19">
        <v>4</v>
      </c>
      <c r="I64" s="24"/>
      <c r="J64" s="24" t="s">
        <v>55</v>
      </c>
      <c r="K64" s="23"/>
      <c r="L64" s="23"/>
      <c r="M64" s="33" t="s">
        <v>265</v>
      </c>
      <c r="O64" s="22">
        <v>4</v>
      </c>
      <c r="P64" s="24"/>
      <c r="Q64" s="24" t="s">
        <v>147</v>
      </c>
      <c r="R64" s="23"/>
      <c r="S64" s="23"/>
      <c r="T64" s="9"/>
    </row>
    <row r="65" spans="1:20" x14ac:dyDescent="0.25">
      <c r="A65" s="18">
        <v>5</v>
      </c>
      <c r="B65" s="23" t="s">
        <v>486</v>
      </c>
      <c r="C65" s="24" t="s">
        <v>478</v>
      </c>
      <c r="D65" s="23" t="s">
        <v>383</v>
      </c>
      <c r="E65" s="23" t="s">
        <v>460</v>
      </c>
      <c r="F65" s="33" t="s">
        <v>265</v>
      </c>
      <c r="H65" s="19">
        <v>5</v>
      </c>
      <c r="I65" s="24"/>
      <c r="J65" s="24" t="s">
        <v>59</v>
      </c>
      <c r="K65" s="23"/>
      <c r="L65" s="23"/>
      <c r="M65" s="33"/>
      <c r="O65" s="22">
        <v>5</v>
      </c>
      <c r="P65" s="24"/>
      <c r="Q65" s="24" t="s">
        <v>151</v>
      </c>
      <c r="R65" s="23"/>
      <c r="S65" s="23"/>
      <c r="T65" s="9" t="s">
        <v>265</v>
      </c>
    </row>
    <row r="66" spans="1:20" x14ac:dyDescent="0.25">
      <c r="A66" s="18">
        <v>6</v>
      </c>
      <c r="B66" s="23" t="s">
        <v>487</v>
      </c>
      <c r="C66" s="24" t="s">
        <v>341</v>
      </c>
      <c r="D66" s="23" t="s">
        <v>383</v>
      </c>
      <c r="E66" s="23" t="s">
        <v>488</v>
      </c>
      <c r="F66" s="33"/>
      <c r="H66" s="19">
        <v>6</v>
      </c>
      <c r="I66" s="24"/>
      <c r="J66" s="24" t="s">
        <v>63</v>
      </c>
      <c r="K66" s="23"/>
      <c r="L66" s="23"/>
      <c r="M66" s="33" t="s">
        <v>265</v>
      </c>
      <c r="O66" s="22">
        <v>6</v>
      </c>
      <c r="P66" s="24"/>
      <c r="Q66" s="24" t="s">
        <v>155</v>
      </c>
      <c r="R66" s="23"/>
      <c r="S66" s="23"/>
      <c r="T66" s="9"/>
    </row>
    <row r="67" spans="1:20" x14ac:dyDescent="0.25">
      <c r="A67" s="18">
        <v>7</v>
      </c>
      <c r="B67" s="23" t="s">
        <v>489</v>
      </c>
      <c r="C67" s="24" t="s">
        <v>342</v>
      </c>
      <c r="D67" s="23" t="s">
        <v>386</v>
      </c>
      <c r="E67" s="23" t="s">
        <v>490</v>
      </c>
      <c r="F67" s="33" t="s">
        <v>265</v>
      </c>
      <c r="H67" s="19">
        <v>7</v>
      </c>
      <c r="I67" s="24"/>
      <c r="J67" s="24" t="s">
        <v>67</v>
      </c>
      <c r="K67" s="23"/>
      <c r="L67" s="23"/>
      <c r="M67" s="33"/>
      <c r="O67" s="22">
        <v>7</v>
      </c>
      <c r="P67" s="24"/>
      <c r="Q67" s="24" t="s">
        <v>159</v>
      </c>
      <c r="R67" s="23"/>
      <c r="S67" s="23"/>
      <c r="T67" s="9"/>
    </row>
    <row r="68" spans="1:20" x14ac:dyDescent="0.25">
      <c r="A68" s="18">
        <v>8</v>
      </c>
      <c r="B68" s="23" t="s">
        <v>491</v>
      </c>
      <c r="C68" s="24" t="s">
        <v>493</v>
      </c>
      <c r="D68" s="23" t="s">
        <v>383</v>
      </c>
      <c r="E68" s="23" t="s">
        <v>492</v>
      </c>
      <c r="F68" s="33"/>
      <c r="H68" s="19">
        <v>8</v>
      </c>
      <c r="I68" s="24"/>
      <c r="J68" s="24" t="s">
        <v>71</v>
      </c>
      <c r="K68" s="23"/>
      <c r="L68" s="23"/>
      <c r="M68" s="33"/>
      <c r="O68" s="22">
        <v>8</v>
      </c>
      <c r="P68" s="24"/>
      <c r="Q68" s="24" t="s">
        <v>163</v>
      </c>
      <c r="R68" s="23"/>
      <c r="S68" s="23"/>
      <c r="T68" s="9" t="s">
        <v>265</v>
      </c>
    </row>
    <row r="69" spans="1:20" x14ac:dyDescent="0.25">
      <c r="A69" s="18">
        <v>9</v>
      </c>
      <c r="B69" s="23" t="s">
        <v>494</v>
      </c>
      <c r="C69" s="24" t="s">
        <v>343</v>
      </c>
      <c r="D69" s="23" t="s">
        <v>383</v>
      </c>
      <c r="E69" s="23" t="s">
        <v>449</v>
      </c>
      <c r="F69" s="33"/>
      <c r="H69" s="19">
        <v>9</v>
      </c>
      <c r="I69" s="24"/>
      <c r="J69" s="24" t="s">
        <v>75</v>
      </c>
      <c r="K69" s="23"/>
      <c r="L69" s="23"/>
      <c r="M69" s="33" t="s">
        <v>265</v>
      </c>
      <c r="O69" s="22">
        <v>9</v>
      </c>
      <c r="P69" s="24"/>
      <c r="Q69" s="24" t="s">
        <v>167</v>
      </c>
      <c r="R69" s="23"/>
      <c r="S69" s="23"/>
      <c r="T69" s="9"/>
    </row>
    <row r="70" spans="1:20" x14ac:dyDescent="0.25">
      <c r="A70" s="18">
        <v>10</v>
      </c>
      <c r="B70" s="23" t="s">
        <v>495</v>
      </c>
      <c r="C70" s="24" t="s">
        <v>344</v>
      </c>
      <c r="D70" s="23" t="s">
        <v>386</v>
      </c>
      <c r="E70" s="23" t="s">
        <v>496</v>
      </c>
      <c r="F70" s="33"/>
      <c r="H70" s="19">
        <v>10</v>
      </c>
      <c r="I70" s="24"/>
      <c r="J70" s="24" t="s">
        <v>79</v>
      </c>
      <c r="K70" s="23"/>
      <c r="L70" s="23"/>
      <c r="M70" s="33"/>
      <c r="O70" s="22">
        <v>10</v>
      </c>
      <c r="P70" s="24"/>
      <c r="Q70" s="24" t="s">
        <v>171</v>
      </c>
      <c r="R70" s="23"/>
      <c r="S70" s="23"/>
      <c r="T70" s="9"/>
    </row>
    <row r="71" spans="1:20" x14ac:dyDescent="0.25">
      <c r="A71" s="18">
        <v>11</v>
      </c>
      <c r="B71" s="23" t="s">
        <v>497</v>
      </c>
      <c r="C71" s="24" t="s">
        <v>345</v>
      </c>
      <c r="D71" s="23" t="s">
        <v>383</v>
      </c>
      <c r="E71" s="23" t="s">
        <v>498</v>
      </c>
      <c r="F71" s="33"/>
      <c r="H71" s="19">
        <v>11</v>
      </c>
      <c r="I71" s="24"/>
      <c r="J71" s="24" t="s">
        <v>83</v>
      </c>
      <c r="K71" s="23"/>
      <c r="L71" s="23"/>
      <c r="M71" s="33" t="s">
        <v>265</v>
      </c>
      <c r="O71" s="22">
        <v>11</v>
      </c>
      <c r="P71" s="24"/>
      <c r="Q71" s="24" t="s">
        <v>175</v>
      </c>
      <c r="R71" s="23"/>
      <c r="S71" s="23"/>
      <c r="T71" s="9" t="s">
        <v>265</v>
      </c>
    </row>
    <row r="72" spans="1:20" x14ac:dyDescent="0.25">
      <c r="A72" s="18">
        <v>12</v>
      </c>
      <c r="B72" s="23" t="s">
        <v>499</v>
      </c>
      <c r="C72" s="24" t="s">
        <v>346</v>
      </c>
      <c r="D72" s="23" t="s">
        <v>383</v>
      </c>
      <c r="E72" s="23" t="s">
        <v>500</v>
      </c>
      <c r="F72" s="33"/>
      <c r="H72" s="19">
        <v>12</v>
      </c>
      <c r="I72" s="24"/>
      <c r="J72" s="24" t="s">
        <v>87</v>
      </c>
      <c r="K72" s="23"/>
      <c r="L72" s="23"/>
      <c r="M72" s="33" t="s">
        <v>265</v>
      </c>
      <c r="O72" s="22">
        <v>12</v>
      </c>
      <c r="P72" s="24"/>
      <c r="Q72" s="24" t="s">
        <v>179</v>
      </c>
      <c r="R72" s="23"/>
      <c r="S72" s="23"/>
      <c r="T72" s="9" t="s">
        <v>265</v>
      </c>
    </row>
    <row r="73" spans="1:20" x14ac:dyDescent="0.25">
      <c r="A73" s="18">
        <v>13</v>
      </c>
      <c r="B73" s="23" t="s">
        <v>501</v>
      </c>
      <c r="C73" s="24" t="s">
        <v>347</v>
      </c>
      <c r="D73" s="23" t="s">
        <v>386</v>
      </c>
      <c r="E73" s="23"/>
      <c r="F73" s="33" t="s">
        <v>265</v>
      </c>
      <c r="H73" s="19">
        <v>13</v>
      </c>
      <c r="I73" s="24"/>
      <c r="J73" s="24" t="s">
        <v>91</v>
      </c>
      <c r="K73" s="23"/>
      <c r="L73" s="23"/>
      <c r="M73" s="33"/>
      <c r="O73" s="22">
        <v>13</v>
      </c>
      <c r="P73" s="24"/>
      <c r="Q73" s="24" t="s">
        <v>183</v>
      </c>
      <c r="R73" s="23"/>
      <c r="S73" s="23"/>
      <c r="T73" s="9" t="s">
        <v>265</v>
      </c>
    </row>
    <row r="74" spans="1:20" x14ac:dyDescent="0.25">
      <c r="A74" s="18">
        <v>14</v>
      </c>
      <c r="B74" s="23" t="s">
        <v>502</v>
      </c>
      <c r="C74" s="24" t="s">
        <v>348</v>
      </c>
      <c r="D74" s="23" t="s">
        <v>386</v>
      </c>
      <c r="E74" s="23"/>
      <c r="F74" s="33"/>
      <c r="H74" s="19">
        <v>14</v>
      </c>
      <c r="I74" s="24"/>
      <c r="J74" s="24" t="s">
        <v>95</v>
      </c>
      <c r="K74" s="23"/>
      <c r="L74" s="23"/>
      <c r="M74" s="33"/>
      <c r="O74" s="22">
        <v>14</v>
      </c>
      <c r="P74" s="24"/>
      <c r="Q74" s="24" t="s">
        <v>187</v>
      </c>
      <c r="R74" s="23"/>
      <c r="S74" s="23"/>
      <c r="T74" s="9" t="s">
        <v>265</v>
      </c>
    </row>
    <row r="75" spans="1:20" x14ac:dyDescent="0.25">
      <c r="A75" s="18">
        <v>15</v>
      </c>
      <c r="B75" s="23" t="s">
        <v>503</v>
      </c>
      <c r="C75" s="24" t="s">
        <v>349</v>
      </c>
      <c r="D75" s="23" t="s">
        <v>386</v>
      </c>
      <c r="E75" s="23"/>
      <c r="F75" s="33" t="s">
        <v>265</v>
      </c>
      <c r="H75" s="19">
        <v>15</v>
      </c>
      <c r="I75" s="24"/>
      <c r="J75" s="37" t="s">
        <v>89</v>
      </c>
      <c r="K75" s="23"/>
      <c r="L75" s="23"/>
      <c r="M75" s="33" t="s">
        <v>265</v>
      </c>
      <c r="O75" s="22">
        <v>15</v>
      </c>
      <c r="P75" s="24"/>
      <c r="Q75" s="24" t="s">
        <v>191</v>
      </c>
      <c r="R75" s="23"/>
      <c r="S75" s="23"/>
      <c r="T75" s="9" t="s">
        <v>265</v>
      </c>
    </row>
    <row r="76" spans="1:20" x14ac:dyDescent="0.25">
      <c r="A76" s="18">
        <v>16</v>
      </c>
      <c r="B76" s="23"/>
      <c r="C76" s="24" t="s">
        <v>350</v>
      </c>
      <c r="D76" s="23" t="s">
        <v>386</v>
      </c>
      <c r="E76" s="23"/>
      <c r="F76" s="33"/>
      <c r="H76" s="19">
        <v>16</v>
      </c>
      <c r="I76" s="24"/>
      <c r="J76" s="24" t="s">
        <v>99</v>
      </c>
      <c r="K76" s="23"/>
      <c r="L76" s="23"/>
      <c r="M76" s="33"/>
      <c r="O76" s="22">
        <v>16</v>
      </c>
      <c r="P76" s="24"/>
      <c r="Q76" s="24" t="s">
        <v>195</v>
      </c>
      <c r="R76" s="23"/>
      <c r="S76" s="23"/>
      <c r="T76" s="9"/>
    </row>
    <row r="77" spans="1:20" x14ac:dyDescent="0.25">
      <c r="A77" s="18">
        <v>17</v>
      </c>
      <c r="B77" s="23"/>
      <c r="C77" s="24" t="s">
        <v>351</v>
      </c>
      <c r="D77" s="23" t="s">
        <v>383</v>
      </c>
      <c r="E77" s="23"/>
      <c r="F77" s="33" t="s">
        <v>265</v>
      </c>
      <c r="H77" s="19">
        <v>17</v>
      </c>
      <c r="I77" s="24"/>
      <c r="J77" s="24" t="s">
        <v>103</v>
      </c>
      <c r="K77" s="23"/>
      <c r="L77" s="23"/>
      <c r="M77" s="33" t="s">
        <v>265</v>
      </c>
      <c r="O77" s="22">
        <v>17</v>
      </c>
      <c r="P77" s="24"/>
      <c r="Q77" s="24" t="s">
        <v>199</v>
      </c>
      <c r="R77" s="23"/>
      <c r="S77" s="23"/>
      <c r="T77" s="9"/>
    </row>
    <row r="78" spans="1:20" x14ac:dyDescent="0.25">
      <c r="A78" s="18">
        <v>18</v>
      </c>
      <c r="B78" s="23"/>
      <c r="C78" s="24" t="s">
        <v>352</v>
      </c>
      <c r="D78" s="23" t="s">
        <v>383</v>
      </c>
      <c r="E78" s="23"/>
      <c r="F78" s="33" t="s">
        <v>265</v>
      </c>
      <c r="H78" s="19">
        <v>18</v>
      </c>
      <c r="I78" s="24"/>
      <c r="J78" s="24" t="s">
        <v>107</v>
      </c>
      <c r="K78" s="23"/>
      <c r="L78" s="23"/>
      <c r="M78" s="33" t="s">
        <v>265</v>
      </c>
      <c r="O78" s="22">
        <v>18</v>
      </c>
      <c r="P78" s="24"/>
      <c r="Q78" s="24" t="s">
        <v>203</v>
      </c>
      <c r="R78" s="23"/>
      <c r="S78" s="23"/>
      <c r="T78" s="9"/>
    </row>
    <row r="79" spans="1:20" x14ac:dyDescent="0.25">
      <c r="A79" s="18">
        <v>19</v>
      </c>
      <c r="B79" s="23"/>
      <c r="C79" s="24" t="s">
        <v>353</v>
      </c>
      <c r="D79" s="23" t="s">
        <v>383</v>
      </c>
      <c r="E79" s="23"/>
      <c r="F79" s="33" t="s">
        <v>265</v>
      </c>
      <c r="H79" s="19">
        <v>19</v>
      </c>
      <c r="I79" s="24"/>
      <c r="J79" s="24" t="s">
        <v>111</v>
      </c>
      <c r="K79" s="23"/>
      <c r="L79" s="23"/>
      <c r="M79" s="33" t="s">
        <v>265</v>
      </c>
      <c r="O79" s="22">
        <v>19</v>
      </c>
      <c r="P79" s="24"/>
      <c r="Q79" s="24" t="s">
        <v>207</v>
      </c>
      <c r="R79" s="23"/>
      <c r="S79" s="23"/>
      <c r="T79" s="9"/>
    </row>
    <row r="80" spans="1:20" x14ac:dyDescent="0.25">
      <c r="A80" s="18">
        <v>20</v>
      </c>
      <c r="B80" s="23"/>
      <c r="C80" s="24" t="s">
        <v>354</v>
      </c>
      <c r="D80" s="23" t="s">
        <v>383</v>
      </c>
      <c r="E80" s="23"/>
      <c r="F80" s="33" t="s">
        <v>265</v>
      </c>
      <c r="H80" s="19">
        <v>20</v>
      </c>
      <c r="I80" s="24"/>
      <c r="J80" s="24" t="s">
        <v>115</v>
      </c>
      <c r="K80" s="23"/>
      <c r="L80" s="23"/>
      <c r="M80" s="33"/>
      <c r="O80" s="22">
        <v>20</v>
      </c>
      <c r="P80" s="24"/>
      <c r="Q80" s="24" t="s">
        <v>211</v>
      </c>
      <c r="R80" s="23"/>
      <c r="S80" s="23"/>
      <c r="T80" s="9" t="s">
        <v>265</v>
      </c>
    </row>
    <row r="81" spans="1:20" x14ac:dyDescent="0.25">
      <c r="A81" s="18">
        <v>21</v>
      </c>
      <c r="B81" s="23"/>
      <c r="C81" s="24"/>
      <c r="D81" s="23"/>
      <c r="E81" s="23"/>
      <c r="F81" s="33"/>
      <c r="H81" s="19">
        <v>21</v>
      </c>
      <c r="I81" s="24"/>
      <c r="J81" s="24" t="s">
        <v>122</v>
      </c>
      <c r="K81" s="23"/>
      <c r="L81" s="23"/>
      <c r="M81" s="33"/>
      <c r="O81" s="22">
        <v>21</v>
      </c>
      <c r="P81" s="24"/>
      <c r="Q81" s="24" t="s">
        <v>215</v>
      </c>
      <c r="R81" s="23"/>
      <c r="S81" s="23"/>
      <c r="T81" s="9"/>
    </row>
    <row r="82" spans="1:20" x14ac:dyDescent="0.25">
      <c r="A82" s="18">
        <v>22</v>
      </c>
      <c r="B82" s="23"/>
      <c r="C82" s="24"/>
      <c r="D82" s="23"/>
      <c r="E82" s="23"/>
      <c r="F82" s="33"/>
      <c r="H82" s="19">
        <v>22</v>
      </c>
      <c r="I82" s="24"/>
      <c r="J82" s="24" t="s">
        <v>126</v>
      </c>
      <c r="K82" s="23"/>
      <c r="L82" s="23"/>
      <c r="M82" s="33" t="s">
        <v>265</v>
      </c>
      <c r="O82" s="22">
        <v>22</v>
      </c>
      <c r="P82" s="24"/>
      <c r="Q82" s="24" t="s">
        <v>219</v>
      </c>
      <c r="R82" s="23"/>
      <c r="S82" s="23"/>
      <c r="T82" s="9" t="s">
        <v>265</v>
      </c>
    </row>
    <row r="83" spans="1:20" x14ac:dyDescent="0.25">
      <c r="A83" s="18">
        <v>23</v>
      </c>
      <c r="B83" s="23"/>
      <c r="C83" s="24"/>
      <c r="D83" s="23"/>
      <c r="E83" s="23"/>
      <c r="F83" s="33"/>
      <c r="H83" s="19">
        <v>23</v>
      </c>
      <c r="I83" s="24"/>
      <c r="J83" s="24" t="s">
        <v>130</v>
      </c>
      <c r="K83" s="23"/>
      <c r="L83" s="23"/>
      <c r="M83" s="33"/>
      <c r="O83" s="22">
        <v>23</v>
      </c>
      <c r="P83" s="24"/>
      <c r="Q83" s="24" t="s">
        <v>223</v>
      </c>
      <c r="R83" s="23"/>
      <c r="S83" s="23"/>
      <c r="T83" s="9"/>
    </row>
    <row r="84" spans="1:20" x14ac:dyDescent="0.25">
      <c r="A84" s="18">
        <v>24</v>
      </c>
      <c r="B84" s="23"/>
      <c r="C84" s="24"/>
      <c r="D84" s="23"/>
      <c r="E84" s="23"/>
      <c r="F84" s="33"/>
      <c r="H84" s="19">
        <v>24</v>
      </c>
      <c r="I84" s="24"/>
      <c r="J84" s="24"/>
      <c r="K84" s="23"/>
      <c r="L84" s="23"/>
      <c r="M84" s="33"/>
      <c r="O84" s="22">
        <v>24</v>
      </c>
      <c r="P84" s="24"/>
      <c r="Q84" s="24" t="s">
        <v>225</v>
      </c>
      <c r="R84" s="23"/>
      <c r="S84" s="23"/>
      <c r="T84" s="9" t="s">
        <v>265</v>
      </c>
    </row>
    <row r="87" spans="1:20" x14ac:dyDescent="0.25">
      <c r="A87" s="13" t="s">
        <v>234</v>
      </c>
      <c r="B87" s="15">
        <v>10.4</v>
      </c>
      <c r="H87" s="13" t="s">
        <v>234</v>
      </c>
      <c r="I87" s="15">
        <v>8.4</v>
      </c>
      <c r="O87" s="13" t="s">
        <v>234</v>
      </c>
      <c r="P87" s="15">
        <v>9.4</v>
      </c>
    </row>
    <row r="88" spans="1:20" x14ac:dyDescent="0.25">
      <c r="A88" s="16" t="s">
        <v>230</v>
      </c>
      <c r="B88" s="16" t="s">
        <v>28</v>
      </c>
      <c r="C88" s="16" t="s">
        <v>231</v>
      </c>
      <c r="D88" s="16" t="s">
        <v>232</v>
      </c>
      <c r="E88" s="16" t="s">
        <v>233</v>
      </c>
      <c r="F88" s="16" t="s">
        <v>247</v>
      </c>
      <c r="H88" s="20" t="s">
        <v>230</v>
      </c>
      <c r="I88" s="20" t="s">
        <v>28</v>
      </c>
      <c r="J88" s="20" t="s">
        <v>231</v>
      </c>
      <c r="K88" s="20" t="s">
        <v>232</v>
      </c>
      <c r="L88" s="20" t="s">
        <v>233</v>
      </c>
      <c r="M88" s="20" t="s">
        <v>247</v>
      </c>
      <c r="O88" s="21" t="s">
        <v>230</v>
      </c>
      <c r="P88" s="21" t="s">
        <v>28</v>
      </c>
      <c r="Q88" s="21" t="s">
        <v>231</v>
      </c>
      <c r="R88" s="21" t="s">
        <v>232</v>
      </c>
      <c r="S88" s="21" t="s">
        <v>233</v>
      </c>
      <c r="T88" s="21" t="s">
        <v>247</v>
      </c>
    </row>
    <row r="89" spans="1:20" x14ac:dyDescent="0.25">
      <c r="A89" s="18">
        <v>1</v>
      </c>
      <c r="B89" s="23"/>
      <c r="C89" s="24" t="s">
        <v>355</v>
      </c>
      <c r="D89" s="23"/>
      <c r="E89" s="23"/>
      <c r="F89" s="33"/>
      <c r="H89" s="19">
        <v>1</v>
      </c>
      <c r="I89" s="24"/>
      <c r="J89" s="24" t="s">
        <v>44</v>
      </c>
      <c r="K89" s="23"/>
      <c r="L89" s="23"/>
      <c r="M89" s="33"/>
      <c r="O89" s="22">
        <v>1</v>
      </c>
      <c r="P89" s="24"/>
      <c r="Q89" s="24" t="s">
        <v>136</v>
      </c>
      <c r="R89" s="23"/>
      <c r="S89" s="23"/>
      <c r="T89" s="9" t="s">
        <v>265</v>
      </c>
    </row>
    <row r="90" spans="1:20" x14ac:dyDescent="0.25">
      <c r="A90" s="18">
        <v>2</v>
      </c>
      <c r="B90" s="23"/>
      <c r="C90" s="24" t="s">
        <v>356</v>
      </c>
      <c r="D90" s="23"/>
      <c r="E90" s="23"/>
      <c r="F90" s="33" t="s">
        <v>265</v>
      </c>
      <c r="H90" s="19">
        <v>2</v>
      </c>
      <c r="I90" s="24"/>
      <c r="J90" s="24" t="s">
        <v>48</v>
      </c>
      <c r="K90" s="23"/>
      <c r="L90" s="23"/>
      <c r="M90" s="33" t="s">
        <v>265</v>
      </c>
      <c r="O90" s="22">
        <v>2</v>
      </c>
      <c r="P90" s="24"/>
      <c r="Q90" s="24" t="s">
        <v>140</v>
      </c>
      <c r="R90" s="23"/>
      <c r="S90" s="23"/>
      <c r="T90" s="9" t="s">
        <v>265</v>
      </c>
    </row>
    <row r="91" spans="1:20" x14ac:dyDescent="0.25">
      <c r="A91" s="18">
        <v>3</v>
      </c>
      <c r="B91" s="23"/>
      <c r="C91" s="24" t="s">
        <v>357</v>
      </c>
      <c r="D91" s="23"/>
      <c r="E91" s="23"/>
      <c r="F91" s="33"/>
      <c r="H91" s="19">
        <v>3</v>
      </c>
      <c r="I91" s="24"/>
      <c r="J91" s="24" t="s">
        <v>52</v>
      </c>
      <c r="K91" s="23"/>
      <c r="L91" s="23"/>
      <c r="M91" s="33"/>
      <c r="O91" s="22">
        <v>3</v>
      </c>
      <c r="P91" s="24"/>
      <c r="Q91" s="24" t="s">
        <v>144</v>
      </c>
      <c r="R91" s="23"/>
      <c r="S91" s="23"/>
      <c r="T91" s="9" t="s">
        <v>265</v>
      </c>
    </row>
    <row r="92" spans="1:20" x14ac:dyDescent="0.25">
      <c r="A92" s="18">
        <v>4</v>
      </c>
      <c r="B92" s="23"/>
      <c r="C92" s="24" t="s">
        <v>358</v>
      </c>
      <c r="D92" s="23"/>
      <c r="E92" s="23"/>
      <c r="F92" s="33"/>
      <c r="H92" s="19">
        <v>4</v>
      </c>
      <c r="I92" s="24"/>
      <c r="J92" s="24" t="s">
        <v>56</v>
      </c>
      <c r="K92" s="23"/>
      <c r="L92" s="23"/>
      <c r="M92" s="33"/>
      <c r="O92" s="22">
        <v>4</v>
      </c>
      <c r="P92" s="24"/>
      <c r="Q92" s="24" t="s">
        <v>148</v>
      </c>
      <c r="R92" s="23"/>
      <c r="S92" s="23"/>
      <c r="T92" s="9"/>
    </row>
    <row r="93" spans="1:20" x14ac:dyDescent="0.25">
      <c r="A93" s="18">
        <v>5</v>
      </c>
      <c r="B93" s="23"/>
      <c r="C93" s="24" t="s">
        <v>359</v>
      </c>
      <c r="D93" s="23"/>
      <c r="E93" s="23"/>
      <c r="F93" s="33" t="s">
        <v>265</v>
      </c>
      <c r="H93" s="19">
        <v>5</v>
      </c>
      <c r="I93" s="24"/>
      <c r="J93" s="24" t="s">
        <v>60</v>
      </c>
      <c r="K93" s="23"/>
      <c r="L93" s="23"/>
      <c r="M93" s="33"/>
      <c r="O93" s="22">
        <v>5</v>
      </c>
      <c r="P93" s="24"/>
      <c r="Q93" s="24" t="s">
        <v>152</v>
      </c>
      <c r="R93" s="23"/>
      <c r="S93" s="23"/>
      <c r="T93" s="9"/>
    </row>
    <row r="94" spans="1:20" x14ac:dyDescent="0.25">
      <c r="A94" s="18">
        <v>6</v>
      </c>
      <c r="B94" s="23"/>
      <c r="C94" s="24" t="s">
        <v>360</v>
      </c>
      <c r="D94" s="23"/>
      <c r="E94" s="23"/>
      <c r="F94" s="33" t="s">
        <v>265</v>
      </c>
      <c r="H94" s="19">
        <v>6</v>
      </c>
      <c r="I94" s="24"/>
      <c r="J94" s="24" t="s">
        <v>64</v>
      </c>
      <c r="K94" s="23"/>
      <c r="L94" s="23"/>
      <c r="M94" s="33"/>
      <c r="O94" s="22">
        <v>6</v>
      </c>
      <c r="P94" s="24"/>
      <c r="Q94" s="24" t="s">
        <v>156</v>
      </c>
      <c r="R94" s="23"/>
      <c r="S94" s="23"/>
      <c r="T94" s="9"/>
    </row>
    <row r="95" spans="1:20" x14ac:dyDescent="0.25">
      <c r="A95" s="18">
        <v>7</v>
      </c>
      <c r="B95" s="23"/>
      <c r="C95" s="24" t="s">
        <v>361</v>
      </c>
      <c r="D95" s="23"/>
      <c r="E95" s="23"/>
      <c r="F95" s="33"/>
      <c r="H95" s="19">
        <v>7</v>
      </c>
      <c r="I95" s="24"/>
      <c r="J95" s="24" t="s">
        <v>68</v>
      </c>
      <c r="K95" s="23"/>
      <c r="L95" s="23"/>
      <c r="M95" s="33" t="s">
        <v>265</v>
      </c>
      <c r="O95" s="22">
        <v>7</v>
      </c>
      <c r="P95" s="24"/>
      <c r="Q95" s="24" t="s">
        <v>160</v>
      </c>
      <c r="R95" s="23"/>
      <c r="S95" s="23"/>
      <c r="T95" s="9" t="s">
        <v>265</v>
      </c>
    </row>
    <row r="96" spans="1:20" x14ac:dyDescent="0.25">
      <c r="A96" s="18">
        <v>8</v>
      </c>
      <c r="B96" s="23"/>
      <c r="C96" s="24" t="s">
        <v>362</v>
      </c>
      <c r="D96" s="23"/>
      <c r="E96" s="23"/>
      <c r="F96" s="33"/>
      <c r="H96" s="19">
        <v>8</v>
      </c>
      <c r="I96" s="24"/>
      <c r="J96" s="24" t="s">
        <v>72</v>
      </c>
      <c r="K96" s="23"/>
      <c r="L96" s="23"/>
      <c r="M96" s="33"/>
      <c r="O96" s="22">
        <v>8</v>
      </c>
      <c r="P96" s="24"/>
      <c r="Q96" s="24" t="s">
        <v>164</v>
      </c>
      <c r="R96" s="23"/>
      <c r="S96" s="23"/>
      <c r="T96" s="9"/>
    </row>
    <row r="97" spans="1:20" x14ac:dyDescent="0.25">
      <c r="A97" s="18">
        <v>9</v>
      </c>
      <c r="B97" s="23"/>
      <c r="C97" s="24" t="s">
        <v>363</v>
      </c>
      <c r="D97" s="23"/>
      <c r="E97" s="23"/>
      <c r="F97" s="33" t="s">
        <v>265</v>
      </c>
      <c r="H97" s="19">
        <v>9</v>
      </c>
      <c r="I97" s="24"/>
      <c r="J97" s="24" t="s">
        <v>76</v>
      </c>
      <c r="K97" s="23"/>
      <c r="L97" s="23"/>
      <c r="M97" s="33" t="s">
        <v>265</v>
      </c>
      <c r="O97" s="22">
        <v>9</v>
      </c>
      <c r="P97" s="24"/>
      <c r="Q97" s="24" t="s">
        <v>168</v>
      </c>
      <c r="R97" s="23"/>
      <c r="S97" s="23"/>
      <c r="T97" s="9" t="s">
        <v>265</v>
      </c>
    </row>
    <row r="98" spans="1:20" x14ac:dyDescent="0.25">
      <c r="A98" s="18">
        <v>10</v>
      </c>
      <c r="B98" s="23"/>
      <c r="C98" s="24" t="s">
        <v>364</v>
      </c>
      <c r="D98" s="23"/>
      <c r="E98" s="23"/>
      <c r="F98" s="33" t="s">
        <v>265</v>
      </c>
      <c r="H98" s="19">
        <v>10</v>
      </c>
      <c r="I98" s="24"/>
      <c r="J98" s="24" t="s">
        <v>80</v>
      </c>
      <c r="K98" s="23"/>
      <c r="L98" s="23"/>
      <c r="M98" s="33"/>
      <c r="O98" s="22">
        <v>10</v>
      </c>
      <c r="P98" s="24"/>
      <c r="Q98" s="24" t="s">
        <v>172</v>
      </c>
      <c r="R98" s="23"/>
      <c r="S98" s="23"/>
      <c r="T98" s="9" t="s">
        <v>265</v>
      </c>
    </row>
    <row r="99" spans="1:20" x14ac:dyDescent="0.25">
      <c r="A99" s="18">
        <v>11</v>
      </c>
      <c r="B99" s="23"/>
      <c r="C99" s="24" t="s">
        <v>365</v>
      </c>
      <c r="D99" s="23"/>
      <c r="E99" s="23"/>
      <c r="F99" s="33"/>
      <c r="H99" s="19">
        <v>11</v>
      </c>
      <c r="I99" s="24"/>
      <c r="J99" s="24" t="s">
        <v>84</v>
      </c>
      <c r="K99" s="23"/>
      <c r="L99" s="23"/>
      <c r="M99" s="33"/>
      <c r="O99" s="22">
        <v>11</v>
      </c>
      <c r="P99" s="24"/>
      <c r="Q99" s="24" t="s">
        <v>176</v>
      </c>
      <c r="R99" s="23"/>
      <c r="S99" s="23"/>
      <c r="T99" s="9"/>
    </row>
    <row r="100" spans="1:20" x14ac:dyDescent="0.25">
      <c r="A100" s="18">
        <v>12</v>
      </c>
      <c r="B100" s="23"/>
      <c r="C100" s="24" t="s">
        <v>366</v>
      </c>
      <c r="D100" s="23"/>
      <c r="E100" s="23"/>
      <c r="F100" s="33"/>
      <c r="H100" s="19">
        <v>12</v>
      </c>
      <c r="I100" s="24"/>
      <c r="J100" s="24" t="s">
        <v>88</v>
      </c>
      <c r="K100" s="23"/>
      <c r="L100" s="23"/>
      <c r="M100" s="33"/>
      <c r="O100" s="22">
        <v>12</v>
      </c>
      <c r="P100" s="24"/>
      <c r="Q100" s="24" t="s">
        <v>180</v>
      </c>
      <c r="R100" s="23"/>
      <c r="S100" s="23"/>
      <c r="T100" s="9" t="s">
        <v>265</v>
      </c>
    </row>
    <row r="101" spans="1:20" x14ac:dyDescent="0.25">
      <c r="A101" s="18">
        <v>13</v>
      </c>
      <c r="B101" s="23"/>
      <c r="C101" s="24" t="s">
        <v>367</v>
      </c>
      <c r="D101" s="23"/>
      <c r="E101" s="23"/>
      <c r="F101" s="33"/>
      <c r="H101" s="19">
        <v>13</v>
      </c>
      <c r="I101" s="24"/>
      <c r="J101" s="24" t="s">
        <v>92</v>
      </c>
      <c r="K101" s="23"/>
      <c r="L101" s="23"/>
      <c r="M101" s="33"/>
      <c r="O101" s="22">
        <v>13</v>
      </c>
      <c r="P101" s="24"/>
      <c r="Q101" s="24" t="s">
        <v>184</v>
      </c>
      <c r="R101" s="23"/>
      <c r="S101" s="23"/>
      <c r="T101" s="9"/>
    </row>
    <row r="102" spans="1:20" x14ac:dyDescent="0.25">
      <c r="A102" s="18">
        <v>14</v>
      </c>
      <c r="B102" s="23"/>
      <c r="C102" s="24" t="s">
        <v>368</v>
      </c>
      <c r="D102" s="23"/>
      <c r="E102" s="23"/>
      <c r="F102" s="33" t="s">
        <v>265</v>
      </c>
      <c r="H102" s="19">
        <v>14</v>
      </c>
      <c r="I102" s="24"/>
      <c r="J102" s="24" t="s">
        <v>96</v>
      </c>
      <c r="K102" s="23"/>
      <c r="L102" s="23"/>
      <c r="M102" s="33" t="s">
        <v>265</v>
      </c>
      <c r="O102" s="22">
        <v>14</v>
      </c>
      <c r="P102" s="24"/>
      <c r="Q102" s="24" t="s">
        <v>188</v>
      </c>
      <c r="R102" s="23"/>
      <c r="S102" s="23"/>
      <c r="T102" s="9" t="s">
        <v>265</v>
      </c>
    </row>
    <row r="103" spans="1:20" x14ac:dyDescent="0.25">
      <c r="A103" s="18">
        <v>15</v>
      </c>
      <c r="B103" s="23"/>
      <c r="C103" s="24" t="s">
        <v>369</v>
      </c>
      <c r="D103" s="23"/>
      <c r="E103" s="23"/>
      <c r="F103" s="33"/>
      <c r="H103" s="19">
        <v>15</v>
      </c>
      <c r="I103" s="24"/>
      <c r="J103" s="24" t="s">
        <v>100</v>
      </c>
      <c r="K103" s="23"/>
      <c r="L103" s="23"/>
      <c r="M103" s="33"/>
      <c r="O103" s="22">
        <v>15</v>
      </c>
      <c r="P103" s="24"/>
      <c r="Q103" s="24" t="s">
        <v>192</v>
      </c>
      <c r="R103" s="23"/>
      <c r="S103" s="23"/>
      <c r="T103" s="9" t="s">
        <v>265</v>
      </c>
    </row>
    <row r="104" spans="1:20" x14ac:dyDescent="0.25">
      <c r="A104" s="18">
        <v>16</v>
      </c>
      <c r="B104" s="23"/>
      <c r="C104" s="24" t="s">
        <v>370</v>
      </c>
      <c r="D104" s="23"/>
      <c r="E104" s="23"/>
      <c r="F104" s="33" t="s">
        <v>265</v>
      </c>
      <c r="H104" s="19">
        <v>16</v>
      </c>
      <c r="I104" s="24"/>
      <c r="J104" s="24" t="s">
        <v>104</v>
      </c>
      <c r="K104" s="23"/>
      <c r="L104" s="23"/>
      <c r="M104" s="33"/>
      <c r="O104" s="22">
        <v>16</v>
      </c>
      <c r="P104" s="24"/>
      <c r="Q104" s="24" t="s">
        <v>196</v>
      </c>
      <c r="R104" s="23"/>
      <c r="S104" s="23"/>
      <c r="T104" s="9"/>
    </row>
    <row r="105" spans="1:20" x14ac:dyDescent="0.25">
      <c r="A105" s="18">
        <v>17</v>
      </c>
      <c r="B105" s="23"/>
      <c r="C105" s="24" t="s">
        <v>371</v>
      </c>
      <c r="D105" s="23"/>
      <c r="E105" s="23"/>
      <c r="F105" s="33" t="s">
        <v>265</v>
      </c>
      <c r="H105" s="19">
        <v>17</v>
      </c>
      <c r="I105" s="24"/>
      <c r="J105" s="24" t="s">
        <v>108</v>
      </c>
      <c r="K105" s="23"/>
      <c r="L105" s="23"/>
      <c r="M105" s="33" t="s">
        <v>265</v>
      </c>
      <c r="O105" s="22">
        <v>17</v>
      </c>
      <c r="P105" s="24"/>
      <c r="Q105" s="24" t="s">
        <v>200</v>
      </c>
      <c r="R105" s="23"/>
      <c r="S105" s="23"/>
      <c r="T105" s="9"/>
    </row>
    <row r="106" spans="1:20" x14ac:dyDescent="0.25">
      <c r="A106" s="18">
        <v>18</v>
      </c>
      <c r="B106" s="23"/>
      <c r="C106" s="24" t="s">
        <v>372</v>
      </c>
      <c r="D106" s="23"/>
      <c r="E106" s="23"/>
      <c r="F106" s="33" t="s">
        <v>265</v>
      </c>
      <c r="H106" s="19">
        <v>18</v>
      </c>
      <c r="I106" s="24"/>
      <c r="J106" s="24" t="s">
        <v>112</v>
      </c>
      <c r="K106" s="23"/>
      <c r="L106" s="23"/>
      <c r="M106" s="33"/>
      <c r="O106" s="22">
        <v>18</v>
      </c>
      <c r="P106" s="24"/>
      <c r="Q106" s="24" t="s">
        <v>204</v>
      </c>
      <c r="R106" s="23"/>
      <c r="S106" s="23"/>
      <c r="T106" s="9"/>
    </row>
    <row r="107" spans="1:20" x14ac:dyDescent="0.25">
      <c r="A107" s="18">
        <v>19</v>
      </c>
      <c r="B107" s="23"/>
      <c r="C107" s="24" t="s">
        <v>373</v>
      </c>
      <c r="D107" s="23"/>
      <c r="E107" s="23"/>
      <c r="F107" s="33" t="s">
        <v>265</v>
      </c>
      <c r="H107" s="19">
        <v>19</v>
      </c>
      <c r="I107" s="24"/>
      <c r="J107" s="24" t="s">
        <v>116</v>
      </c>
      <c r="K107" s="23"/>
      <c r="L107" s="23"/>
      <c r="M107" s="33" t="s">
        <v>265</v>
      </c>
      <c r="O107" s="22">
        <v>19</v>
      </c>
      <c r="P107" s="24"/>
      <c r="Q107" s="24" t="s">
        <v>208</v>
      </c>
      <c r="R107" s="23"/>
      <c r="S107" s="23"/>
      <c r="T107" s="9" t="s">
        <v>265</v>
      </c>
    </row>
    <row r="108" spans="1:20" x14ac:dyDescent="0.25">
      <c r="A108" s="18">
        <v>20</v>
      </c>
      <c r="B108" s="23"/>
      <c r="C108" s="24" t="s">
        <v>374</v>
      </c>
      <c r="D108" s="23"/>
      <c r="E108" s="23"/>
      <c r="F108" s="33" t="s">
        <v>265</v>
      </c>
      <c r="H108" s="19">
        <v>20</v>
      </c>
      <c r="I108" s="24"/>
      <c r="J108" s="24" t="s">
        <v>119</v>
      </c>
      <c r="K108" s="23"/>
      <c r="L108" s="23"/>
      <c r="M108" s="33"/>
      <c r="O108" s="22">
        <v>20</v>
      </c>
      <c r="P108" s="24"/>
      <c r="Q108" s="24" t="s">
        <v>212</v>
      </c>
      <c r="R108" s="23"/>
      <c r="S108" s="23"/>
      <c r="T108" s="9"/>
    </row>
    <row r="109" spans="1:20" x14ac:dyDescent="0.25">
      <c r="A109" s="18">
        <v>21</v>
      </c>
      <c r="B109" s="23"/>
      <c r="C109" s="24" t="s">
        <v>375</v>
      </c>
      <c r="D109" s="23"/>
      <c r="E109" s="23"/>
      <c r="F109" s="33" t="s">
        <v>265</v>
      </c>
      <c r="H109" s="19">
        <v>21</v>
      </c>
      <c r="I109" s="24"/>
      <c r="J109" s="24" t="s">
        <v>123</v>
      </c>
      <c r="K109" s="23"/>
      <c r="L109" s="23"/>
      <c r="M109" s="33" t="s">
        <v>265</v>
      </c>
      <c r="O109" s="22">
        <v>21</v>
      </c>
      <c r="P109" s="24"/>
      <c r="Q109" s="24" t="s">
        <v>216</v>
      </c>
      <c r="R109" s="23"/>
      <c r="S109" s="23"/>
      <c r="T109" s="9"/>
    </row>
    <row r="110" spans="1:20" x14ac:dyDescent="0.25">
      <c r="A110" s="18">
        <v>22</v>
      </c>
      <c r="B110" s="23"/>
      <c r="C110" s="24"/>
      <c r="D110" s="23"/>
      <c r="E110" s="23"/>
      <c r="F110" s="33"/>
      <c r="H110" s="19">
        <v>22</v>
      </c>
      <c r="I110" s="24"/>
      <c r="J110" s="24" t="s">
        <v>127</v>
      </c>
      <c r="K110" s="23"/>
      <c r="L110" s="23"/>
      <c r="M110" s="33" t="s">
        <v>265</v>
      </c>
      <c r="O110" s="22">
        <v>22</v>
      </c>
      <c r="P110" s="24"/>
      <c r="Q110" s="24" t="s">
        <v>220</v>
      </c>
      <c r="R110" s="23"/>
      <c r="S110" s="23"/>
      <c r="T110" s="9"/>
    </row>
    <row r="111" spans="1:20" x14ac:dyDescent="0.25">
      <c r="A111" s="18">
        <v>23</v>
      </c>
      <c r="B111" s="23"/>
      <c r="C111" s="24"/>
      <c r="D111" s="23"/>
      <c r="E111" s="23"/>
      <c r="F111" s="33"/>
      <c r="H111" s="19">
        <v>23</v>
      </c>
      <c r="I111" s="24"/>
      <c r="J111" s="24" t="s">
        <v>131</v>
      </c>
      <c r="K111" s="23"/>
      <c r="L111" s="23"/>
      <c r="M111" s="33" t="s">
        <v>265</v>
      </c>
      <c r="O111" s="22">
        <v>23</v>
      </c>
      <c r="P111" s="24"/>
      <c r="Q111" s="24" t="s">
        <v>224</v>
      </c>
      <c r="R111" s="23"/>
      <c r="S111" s="23"/>
      <c r="T111" s="9" t="s">
        <v>265</v>
      </c>
    </row>
    <row r="112" spans="1:20" x14ac:dyDescent="0.25">
      <c r="A112" s="18">
        <v>24</v>
      </c>
      <c r="B112" s="23"/>
      <c r="C112" s="24"/>
      <c r="D112" s="23"/>
      <c r="E112" s="23"/>
      <c r="F112" s="33"/>
      <c r="H112" s="19">
        <v>24</v>
      </c>
      <c r="I112" s="24"/>
      <c r="J112" s="24" t="s">
        <v>132</v>
      </c>
      <c r="K112" s="23"/>
      <c r="L112" s="23"/>
      <c r="M112" s="33" t="s">
        <v>265</v>
      </c>
      <c r="O112" s="22">
        <v>24</v>
      </c>
      <c r="P112" s="24"/>
      <c r="Q112" s="24"/>
      <c r="R112" s="23"/>
      <c r="S112" s="23"/>
      <c r="T112" s="9"/>
    </row>
  </sheetData>
  <sortState ref="J5:J27">
    <sortCondition ref="J5"/>
  </sortState>
  <mergeCells count="3">
    <mergeCell ref="O1:T1"/>
    <mergeCell ref="A1:F1"/>
    <mergeCell ref="H1:M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45"/>
  <sheetViews>
    <sheetView workbookViewId="0">
      <selection activeCell="I12" sqref="I12"/>
    </sheetView>
  </sheetViews>
  <sheetFormatPr defaultRowHeight="15" x14ac:dyDescent="0.25"/>
  <cols>
    <col min="2" max="5" width="30.7109375" customWidth="1"/>
  </cols>
  <sheetData>
    <row r="2" spans="1:5" ht="31.5" x14ac:dyDescent="0.5">
      <c r="A2" s="3" t="s">
        <v>227</v>
      </c>
    </row>
    <row r="3" spans="1:5" x14ac:dyDescent="0.25">
      <c r="B3" s="4"/>
      <c r="C3" s="4"/>
      <c r="D3" s="4"/>
      <c r="E3" s="4"/>
    </row>
    <row r="4" spans="1:5" ht="15" customHeight="1" x14ac:dyDescent="0.25">
      <c r="A4" s="30">
        <v>1</v>
      </c>
      <c r="B4" s="12">
        <v>10.1</v>
      </c>
      <c r="C4" s="12">
        <v>10.199999999999999</v>
      </c>
      <c r="D4" s="12">
        <v>10.3</v>
      </c>
      <c r="E4" s="12">
        <v>10.4</v>
      </c>
    </row>
    <row r="5" spans="1:5" ht="15.75" customHeight="1" x14ac:dyDescent="0.25">
      <c r="A5" s="30">
        <v>2</v>
      </c>
      <c r="B5" s="11" t="s">
        <v>308</v>
      </c>
      <c r="C5" s="10" t="s">
        <v>309</v>
      </c>
      <c r="D5" s="11" t="s">
        <v>310</v>
      </c>
      <c r="E5" s="11" t="s">
        <v>311</v>
      </c>
    </row>
    <row r="6" spans="1:5" s="5" customFormat="1" x14ac:dyDescent="0.25">
      <c r="A6" s="30">
        <v>3</v>
      </c>
      <c r="B6" s="34" t="str">
        <f>'Student Data'!C5</f>
        <v>ANDREW HARDJONO</v>
      </c>
      <c r="C6" s="25" t="str">
        <f>'Student Data'!C33</f>
        <v>ANDREA VANIA</v>
      </c>
      <c r="D6" s="25" t="str">
        <f>'Student Data'!C61</f>
        <v>ALEXANDER RAFUDI</v>
      </c>
      <c r="E6" s="34" t="str">
        <f>'Student Data'!C89</f>
        <v>ALEXANDER JONATHAN K</v>
      </c>
    </row>
    <row r="7" spans="1:5" s="5" customFormat="1" x14ac:dyDescent="0.25">
      <c r="A7" s="30">
        <v>4</v>
      </c>
      <c r="B7" s="34" t="str">
        <f>'Student Data'!C6</f>
        <v>BENEDICT WIJAYA</v>
      </c>
      <c r="C7" s="25" t="str">
        <f>'Student Data'!C34</f>
        <v>ANGELICA ANDREA</v>
      </c>
      <c r="D7" s="25" t="str">
        <f>'Student Data'!C62</f>
        <v>ANDRE TEDRIC</v>
      </c>
      <c r="E7" s="34" t="str">
        <f>'Student Data'!C90</f>
        <v>ALFONADI SUTEDJA</v>
      </c>
    </row>
    <row r="8" spans="1:5" s="5" customFormat="1" x14ac:dyDescent="0.25">
      <c r="A8" s="30">
        <v>5</v>
      </c>
      <c r="B8" s="34" t="str">
        <f>'Student Data'!C7</f>
        <v>FLORENTINA SUGIANTO</v>
      </c>
      <c r="C8" s="25" t="str">
        <f>'Student Data'!C35</f>
        <v>CELINE AYU</v>
      </c>
      <c r="D8" s="25" t="str">
        <f>'Student Data'!C63</f>
        <v>ANDREA ESTER BANGUN</v>
      </c>
      <c r="E8" s="34" t="str">
        <f>'Student Data'!C91</f>
        <v>ANASTASYA AUDREY W</v>
      </c>
    </row>
    <row r="9" spans="1:5" s="5" customFormat="1" x14ac:dyDescent="0.25">
      <c r="A9" s="30">
        <v>6</v>
      </c>
      <c r="B9" s="34" t="str">
        <f>'Student Data'!C8</f>
        <v>GRACE SANTOSA</v>
      </c>
      <c r="C9" s="25" t="str">
        <f>'Student Data'!C36</f>
        <v>DANIEL JUSTIN</v>
      </c>
      <c r="D9" s="25" t="str">
        <f>'Student Data'!C64</f>
        <v>AXEL AMADEUS</v>
      </c>
      <c r="E9" s="34" t="str">
        <f>'Student Data'!C92</f>
        <v>ASHLEY EUGENEA C</v>
      </c>
    </row>
    <row r="10" spans="1:5" s="5" customFormat="1" x14ac:dyDescent="0.25">
      <c r="A10" s="30">
        <v>7</v>
      </c>
      <c r="B10" s="34" t="str">
        <f>'Student Data'!C9</f>
        <v>HANS SAMUEL</v>
      </c>
      <c r="C10" s="25" t="str">
        <f>'Student Data'!C37</f>
        <v>GERALDINE AMANDA TJIPUTRA</v>
      </c>
      <c r="D10" s="25" t="str">
        <f>'Student Data'!C65</f>
        <v>BRYAN DENIANTO</v>
      </c>
      <c r="E10" s="34" t="str">
        <f>'Student Data'!C93</f>
        <v>CATHERINA C</v>
      </c>
    </row>
    <row r="11" spans="1:5" s="5" customFormat="1" x14ac:dyDescent="0.25">
      <c r="A11" s="30">
        <v>8</v>
      </c>
      <c r="B11" s="34" t="str">
        <f>'Student Data'!C10</f>
        <v>JEFFA  DARREN MYRON</v>
      </c>
      <c r="C11" s="25" t="str">
        <f>'Student Data'!C38</f>
        <v>HANSEN SURANTO</v>
      </c>
      <c r="D11" s="25" t="str">
        <f>'Student Data'!C66</f>
        <v>DEVIN TIMOTHY</v>
      </c>
      <c r="E11" s="34" t="str">
        <f>'Student Data'!C94</f>
        <v>CHRISTOPHER CONAN K.</v>
      </c>
    </row>
    <row r="12" spans="1:5" s="5" customFormat="1" x14ac:dyDescent="0.25">
      <c r="A12" s="30">
        <v>9</v>
      </c>
      <c r="B12" s="34" t="str">
        <f>'Student Data'!C11</f>
        <v>JEREMY JECONIAH</v>
      </c>
      <c r="C12" s="25" t="str">
        <f>'Student Data'!C39</f>
        <v>IRWIN MATTHEW SUGIH</v>
      </c>
      <c r="D12" s="25" t="str">
        <f>'Student Data'!C67</f>
        <v>FELISHA VINAYA IRAWAN</v>
      </c>
      <c r="E12" s="34" t="str">
        <f>'Student Data'!C95</f>
        <v>CLARISSA NAGA WIJAYA</v>
      </c>
    </row>
    <row r="13" spans="1:5" s="5" customFormat="1" x14ac:dyDescent="0.25">
      <c r="A13" s="30">
        <v>10</v>
      </c>
      <c r="B13" s="34" t="str">
        <f>'Student Data'!C12</f>
        <v>JOCELYN IVANA</v>
      </c>
      <c r="C13" s="25" t="str">
        <f>'Student Data'!C40</f>
        <v>IVAN ANDREW GUNAWAN</v>
      </c>
      <c r="D13" s="25" t="str">
        <f>'Student Data'!C68</f>
        <v>HANS FARREL SOEGENG</v>
      </c>
      <c r="E13" s="34" t="str">
        <f>'Student Data'!C96</f>
        <v>DAPHNE W</v>
      </c>
    </row>
    <row r="14" spans="1:5" s="5" customFormat="1" x14ac:dyDescent="0.25">
      <c r="A14" s="30">
        <v>11</v>
      </c>
      <c r="B14" s="34" t="str">
        <f>'Student Data'!C13</f>
        <v>JOSHUA IMMANUEL ROCHILLI</v>
      </c>
      <c r="C14" s="25" t="str">
        <f>'Student Data'!C41</f>
        <v>JOAN NATASHA HERMAWAN</v>
      </c>
      <c r="D14" s="25" t="str">
        <f>'Student Data'!C69</f>
        <v>HIMAYA LIN</v>
      </c>
      <c r="E14" s="34" t="str">
        <f>'Student Data'!C97</f>
        <v>DARREL SANJAYA</v>
      </c>
    </row>
    <row r="15" spans="1:5" s="5" customFormat="1" x14ac:dyDescent="0.25">
      <c r="A15" s="30">
        <v>12</v>
      </c>
      <c r="B15" s="34" t="str">
        <f>'Student Data'!C14</f>
        <v>KEZIA CHRISTABELA LAKSONO</v>
      </c>
      <c r="C15" s="25" t="str">
        <f>'Student Data'!C42</f>
        <v>LEONARDO WYNN WIDODO</v>
      </c>
      <c r="D15" s="25" t="str">
        <f>'Student Data'!C70</f>
        <v>JOELLE ALEZA</v>
      </c>
      <c r="E15" s="34" t="str">
        <f>'Student Data'!C98</f>
        <v>DAVINA RENATA L</v>
      </c>
    </row>
    <row r="16" spans="1:5" s="5" customFormat="1" x14ac:dyDescent="0.25">
      <c r="A16" s="30">
        <v>13</v>
      </c>
      <c r="B16" s="34" t="str">
        <f>'Student Data'!C15</f>
        <v>MATTHEW CLERENCE LIEGO</v>
      </c>
      <c r="C16" s="25" t="str">
        <f>'Student Data'!C43</f>
        <v>MATTHEW NATHANAEL CHANDRA</v>
      </c>
      <c r="D16" s="25" t="str">
        <f>'Student Data'!C71</f>
        <v>JOSH MATTHEW</v>
      </c>
      <c r="E16" s="34" t="str">
        <f>'Student Data'!C99</f>
        <v>DYANTHA HENDRANATA PUTRI</v>
      </c>
    </row>
    <row r="17" spans="1:5" s="5" customFormat="1" x14ac:dyDescent="0.25">
      <c r="A17" s="30">
        <v>14</v>
      </c>
      <c r="B17" s="34" t="str">
        <f>'Student Data'!C16</f>
        <v>MICHAEL ANTONIO BOENTORO</v>
      </c>
      <c r="C17" s="25" t="str">
        <f>'Student Data'!C44</f>
        <v>MAUREEN CHRISTIANA</v>
      </c>
      <c r="D17" s="25" t="str">
        <f>'Student Data'!C72</f>
        <v>KU SAN</v>
      </c>
      <c r="E17" s="34" t="str">
        <f>'Student Data'!C100</f>
        <v>DYLAN GIVEN</v>
      </c>
    </row>
    <row r="18" spans="1:5" s="5" customFormat="1" x14ac:dyDescent="0.25">
      <c r="A18" s="30">
        <v>15</v>
      </c>
      <c r="B18" s="34" t="str">
        <f>'Student Data'!C17</f>
        <v>NADIA</v>
      </c>
      <c r="C18" s="25" t="str">
        <f>'Student Data'!C45</f>
        <v>MELVIN FERNANDO</v>
      </c>
      <c r="D18" s="25" t="str">
        <f>'Student Data'!C73</f>
        <v>LABITTA ABIWARDANI</v>
      </c>
      <c r="E18" s="34" t="str">
        <f>'Student Data'!C101</f>
        <v>FLORINE</v>
      </c>
    </row>
    <row r="19" spans="1:5" s="5" customFormat="1" x14ac:dyDescent="0.25">
      <c r="A19" s="30">
        <v>16</v>
      </c>
      <c r="B19" s="34" t="str">
        <f>'Student Data'!C18</f>
        <v>NATHANIA BERNICE</v>
      </c>
      <c r="C19" s="25" t="str">
        <f>'Student Data'!C46</f>
        <v>NATHANIEL</v>
      </c>
      <c r="D19" s="25" t="str">
        <f>'Student Data'!C74</f>
        <v>MADELINE DASUKI</v>
      </c>
      <c r="E19" s="34" t="str">
        <f>'Student Data'!C102</f>
        <v>JOANNA CAROLINE C</v>
      </c>
    </row>
    <row r="20" spans="1:5" s="5" customFormat="1" x14ac:dyDescent="0.25">
      <c r="A20" s="30">
        <v>17</v>
      </c>
      <c r="B20" s="34" t="str">
        <f>'Student Data'!C19</f>
        <v>SALYVANA KRISANTO</v>
      </c>
      <c r="C20" s="25" t="str">
        <f>'Student Data'!C47</f>
        <v>PUTERI KIRANA WIBAWA</v>
      </c>
      <c r="D20" s="25" t="str">
        <f>'Student Data'!C75</f>
        <v>MELINDA MARCYOLA</v>
      </c>
      <c r="E20" s="34" t="str">
        <f>'Student Data'!C103</f>
        <v>JONATHAN DAVIDSON</v>
      </c>
    </row>
    <row r="21" spans="1:5" s="5" customFormat="1" x14ac:dyDescent="0.25">
      <c r="A21" s="30">
        <v>18</v>
      </c>
      <c r="B21" s="34" t="str">
        <f>'Student Data'!C20</f>
        <v>SAMUEL AGUSTO</v>
      </c>
      <c r="C21" s="25" t="str">
        <f>'Student Data'!C48</f>
        <v>STEPHEN EMMANUEL GOENARSO</v>
      </c>
      <c r="D21" s="25" t="str">
        <f>'Student Data'!C76</f>
        <v>MONICA VALENTINA TASMIN</v>
      </c>
      <c r="E21" s="34" t="str">
        <f>'Student Data'!C104</f>
        <v>JONATHAN LIE</v>
      </c>
    </row>
    <row r="22" spans="1:5" s="5" customFormat="1" x14ac:dyDescent="0.25">
      <c r="A22" s="30">
        <v>19</v>
      </c>
      <c r="B22" s="34" t="str">
        <f>'Student Data'!C21</f>
        <v>SHANIKA IVERNA TAMARA</v>
      </c>
      <c r="C22" s="25" t="str">
        <f>'Student Data'!C49</f>
        <v>VANESSA MAE</v>
      </c>
      <c r="D22" s="25" t="str">
        <f>'Student Data'!C77</f>
        <v>NATHANAEL BUDHI</v>
      </c>
      <c r="E22" s="34" t="str">
        <f>'Student Data'!C105</f>
        <v>KELVIN JO</v>
      </c>
    </row>
    <row r="23" spans="1:5" s="5" customFormat="1" x14ac:dyDescent="0.25">
      <c r="A23" s="30">
        <v>20</v>
      </c>
      <c r="B23" s="34" t="str">
        <f>'Student Data'!C22</f>
        <v>TASHA LAURETTA</v>
      </c>
      <c r="C23" s="25" t="str">
        <f>'Student Data'!C50</f>
        <v>VALENT CHRISTIAN</v>
      </c>
      <c r="D23" s="25" t="str">
        <f>'Student Data'!C78</f>
        <v>NICHOLAS DAVIN GODJALI</v>
      </c>
      <c r="E23" s="34" t="str">
        <f>'Student Data'!C106</f>
        <v>MARCELINUS GEORGIO</v>
      </c>
    </row>
    <row r="24" spans="1:5" s="5" customFormat="1" x14ac:dyDescent="0.25">
      <c r="A24" s="30">
        <v>21</v>
      </c>
      <c r="B24" s="34" t="str">
        <f>'Student Data'!C23</f>
        <v>TIMOTHY FARREL TJONDROJO</v>
      </c>
      <c r="C24" s="25" t="str">
        <f>'Student Data'!C51</f>
        <v>VICTORIA VALERIE</v>
      </c>
      <c r="D24" s="25" t="str">
        <f>'Student Data'!C79</f>
        <v>SAMUEL YORI</v>
      </c>
      <c r="E24" s="34" t="str">
        <f>'Student Data'!C107</f>
        <v>MATTHEW REYNALDI J</v>
      </c>
    </row>
    <row r="25" spans="1:5" s="5" customFormat="1" x14ac:dyDescent="0.25">
      <c r="A25" s="30">
        <v>22</v>
      </c>
      <c r="B25" s="34" t="str">
        <f>'Student Data'!C24</f>
        <v>YASMIN ANGGRAINI TEGUH</v>
      </c>
      <c r="C25" s="25" t="str">
        <f>'Student Data'!C52</f>
        <v>WILLIAM SURYA DJAYA SAPUTRO</v>
      </c>
      <c r="D25" s="25" t="str">
        <f>'Student Data'!C80</f>
        <v>SEBASTIAN HUGO</v>
      </c>
      <c r="E25" s="34" t="str">
        <f>'Student Data'!C108</f>
        <v>N. JASON L</v>
      </c>
    </row>
    <row r="26" spans="1:5" s="5" customFormat="1" x14ac:dyDescent="0.25">
      <c r="A26" s="30">
        <v>23</v>
      </c>
      <c r="B26" s="34">
        <f>'Student Data'!C25</f>
        <v>0</v>
      </c>
      <c r="C26" s="25">
        <f>'Student Data'!C53</f>
        <v>0</v>
      </c>
      <c r="D26" s="25">
        <f>'Student Data'!C81</f>
        <v>0</v>
      </c>
      <c r="E26" s="34" t="str">
        <f>'Student Data'!C109</f>
        <v xml:space="preserve">STEVEN CHRISTIAN </v>
      </c>
    </row>
    <row r="27" spans="1:5" s="5" customFormat="1" ht="15" customHeight="1" x14ac:dyDescent="0.25">
      <c r="A27" s="30">
        <v>24</v>
      </c>
      <c r="B27" s="34">
        <f>'Student Data'!C26</f>
        <v>0</v>
      </c>
      <c r="C27" s="25">
        <f>'Student Data'!C54</f>
        <v>0</v>
      </c>
      <c r="D27" s="25">
        <f>'Student Data'!C82</f>
        <v>0</v>
      </c>
      <c r="E27" s="34">
        <f>'Student Data'!C110</f>
        <v>0</v>
      </c>
    </row>
    <row r="28" spans="1:5" s="5" customFormat="1" x14ac:dyDescent="0.25">
      <c r="A28" s="30">
        <v>25</v>
      </c>
      <c r="B28" s="34">
        <f>'Student Data'!C27</f>
        <v>0</v>
      </c>
      <c r="C28" s="25">
        <f>'Student Data'!C55</f>
        <v>0</v>
      </c>
      <c r="D28" s="25">
        <f>'Student Data'!C83</f>
        <v>0</v>
      </c>
      <c r="E28" s="34">
        <f>'Student Data'!C111</f>
        <v>0</v>
      </c>
    </row>
    <row r="29" spans="1:5" s="5" customFormat="1" x14ac:dyDescent="0.25">
      <c r="A29" s="30">
        <v>26</v>
      </c>
      <c r="B29" s="34">
        <f>'Student Data'!C28</f>
        <v>0</v>
      </c>
      <c r="C29" s="25">
        <f>'Student Data'!C56</f>
        <v>0</v>
      </c>
      <c r="D29" s="25">
        <f>'Student Data'!C84</f>
        <v>0</v>
      </c>
      <c r="E29" s="34">
        <f>'Student Data'!C112</f>
        <v>0</v>
      </c>
    </row>
    <row r="30" spans="1:5" x14ac:dyDescent="0.25">
      <c r="A30" s="28"/>
    </row>
    <row r="31" spans="1:5" x14ac:dyDescent="0.25">
      <c r="A31" s="28"/>
    </row>
    <row r="32" spans="1:5" s="1" customFormat="1" ht="31.5" x14ac:dyDescent="0.5">
      <c r="A32" s="31" t="s">
        <v>226</v>
      </c>
    </row>
    <row r="33" spans="1:5" x14ac:dyDescent="0.25">
      <c r="A33" s="28"/>
      <c r="B33" s="4"/>
      <c r="C33" s="4"/>
      <c r="D33" s="4"/>
      <c r="E33" s="4"/>
    </row>
    <row r="34" spans="1:5" x14ac:dyDescent="0.25">
      <c r="A34" s="30">
        <v>1</v>
      </c>
      <c r="B34" s="12">
        <v>10.1</v>
      </c>
      <c r="C34" s="12">
        <v>10.199999999999999</v>
      </c>
      <c r="D34" s="12">
        <v>10.3</v>
      </c>
      <c r="E34" s="12">
        <v>10.4</v>
      </c>
    </row>
    <row r="35" spans="1:5" x14ac:dyDescent="0.25">
      <c r="A35" s="30">
        <v>2</v>
      </c>
      <c r="B35" s="26" t="str">
        <f>'Student Data'!B5</f>
        <v>590/0018211428</v>
      </c>
      <c r="C35" s="27" t="str">
        <f>'Student Data'!B33</f>
        <v>589/0024985666</v>
      </c>
      <c r="D35" s="27" t="str">
        <f>'Student Data'!B61</f>
        <v>584/0022395210</v>
      </c>
      <c r="E35" s="26">
        <f>'Student Data'!B89</f>
        <v>0</v>
      </c>
    </row>
    <row r="36" spans="1:5" x14ac:dyDescent="0.25">
      <c r="A36" s="30">
        <v>3</v>
      </c>
      <c r="B36" s="26" t="str">
        <f>'Student Data'!B6</f>
        <v>594/0024014816</v>
      </c>
      <c r="C36" s="27" t="str">
        <f>'Student Data'!B34</f>
        <v>591/0024396143</v>
      </c>
      <c r="D36" s="27" t="str">
        <f>'Student Data'!B62</f>
        <v>587/0023094492</v>
      </c>
      <c r="E36" s="26">
        <f>'Student Data'!B90</f>
        <v>0</v>
      </c>
    </row>
    <row r="37" spans="1:5" x14ac:dyDescent="0.25">
      <c r="A37" s="30">
        <v>4</v>
      </c>
      <c r="B37" s="26" t="str">
        <f>'Student Data'!B7</f>
        <v>608/0023094497</v>
      </c>
      <c r="C37" s="27" t="str">
        <f>'Student Data'!B35</f>
        <v>597/0020750418</v>
      </c>
      <c r="D37" s="27" t="str">
        <f>'Student Data'!B63</f>
        <v>588/0022113021</v>
      </c>
      <c r="E37" s="26">
        <f>'Student Data'!B91</f>
        <v>0</v>
      </c>
    </row>
    <row r="38" spans="1:5" x14ac:dyDescent="0.25">
      <c r="A38" s="30">
        <v>5</v>
      </c>
      <c r="B38" s="26" t="str">
        <f>'Student Data'!B8</f>
        <v>611/0026911212</v>
      </c>
      <c r="C38" s="27" t="str">
        <f>'Student Data'!B36</f>
        <v>600/0023094495</v>
      </c>
      <c r="D38" s="27" t="str">
        <f>'Student Data'!B64</f>
        <v>593/0023094488</v>
      </c>
      <c r="E38" s="26">
        <f>'Student Data'!B92</f>
        <v>0</v>
      </c>
    </row>
    <row r="39" spans="1:5" x14ac:dyDescent="0.25">
      <c r="A39" s="30">
        <v>6</v>
      </c>
      <c r="B39" s="26" t="str">
        <f>'Student Data'!B9</f>
        <v>613/0025273792</v>
      </c>
      <c r="C39" s="27" t="str">
        <f>'Student Data'!B37</f>
        <v>610/0024195614</v>
      </c>
      <c r="D39" s="27" t="str">
        <f>'Student Data'!B65</f>
        <v>595/0017759175</v>
      </c>
      <c r="E39" s="26">
        <f>'Student Data'!B93</f>
        <v>0</v>
      </c>
    </row>
    <row r="40" spans="1:5" x14ac:dyDescent="0.25">
      <c r="A40" s="30">
        <v>7</v>
      </c>
      <c r="B40" s="26" t="str">
        <f>'Student Data'!B10</f>
        <v>618/0025273776</v>
      </c>
      <c r="C40" s="27" t="str">
        <f>'Student Data'!B38</f>
        <v>614/0025319234</v>
      </c>
      <c r="D40" s="27" t="str">
        <f>'Student Data'!B66</f>
        <v>604/0023094476</v>
      </c>
      <c r="E40" s="26">
        <f>'Student Data'!B94</f>
        <v>0</v>
      </c>
    </row>
    <row r="41" spans="1:5" x14ac:dyDescent="0.25">
      <c r="A41" s="30">
        <v>8</v>
      </c>
      <c r="B41" s="26" t="str">
        <f>'Student Data'!B11</f>
        <v>619/0016751062</v>
      </c>
      <c r="C41" s="27" t="str">
        <f>'Student Data'!B39</f>
        <v>616/0023094501</v>
      </c>
      <c r="D41" s="27" t="str">
        <f>'Student Data'!B67</f>
        <v>607/0024014851</v>
      </c>
      <c r="E41" s="26">
        <f>'Student Data'!B95</f>
        <v>0</v>
      </c>
    </row>
    <row r="42" spans="1:5" x14ac:dyDescent="0.25">
      <c r="A42" s="30">
        <v>9</v>
      </c>
      <c r="B42" s="26" t="str">
        <f>'Student Data'!B12</f>
        <v>622/0020653207</v>
      </c>
      <c r="C42" s="27" t="str">
        <f>'Student Data'!B40</f>
        <v>617/0023094440</v>
      </c>
      <c r="D42" s="27" t="str">
        <f>'Student Data'!B68</f>
        <v>612/0024380413</v>
      </c>
      <c r="E42" s="26">
        <f>'Student Data'!B96</f>
        <v>0</v>
      </c>
    </row>
    <row r="43" spans="1:5" x14ac:dyDescent="0.25">
      <c r="A43" s="30">
        <v>10</v>
      </c>
      <c r="B43" s="26" t="str">
        <f>'Student Data'!B13</f>
        <v>627/0023094483</v>
      </c>
      <c r="C43" s="27" t="str">
        <f>'Student Data'!B41</f>
        <v>620/0023094485</v>
      </c>
      <c r="D43" s="27" t="str">
        <f>'Student Data'!B69</f>
        <v>615/0023094439</v>
      </c>
      <c r="E43" s="26">
        <f>'Student Data'!B97</f>
        <v>0</v>
      </c>
    </row>
    <row r="44" spans="1:5" x14ac:dyDescent="0.25">
      <c r="A44" s="30">
        <v>11</v>
      </c>
      <c r="B44" s="26" t="str">
        <f>'Student Data'!B14</f>
        <v>629/0023094214</v>
      </c>
      <c r="C44" s="27" t="str">
        <f>'Student Data'!B42</f>
        <v>632/0020750430</v>
      </c>
      <c r="D44" s="27" t="str">
        <f>'Student Data'!B70</f>
        <v>623/0026911265</v>
      </c>
      <c r="E44" s="26">
        <f>'Student Data'!B98</f>
        <v>0</v>
      </c>
    </row>
    <row r="45" spans="1:5" x14ac:dyDescent="0.25">
      <c r="A45" s="30">
        <v>12</v>
      </c>
      <c r="B45" s="26" t="str">
        <f>'Student Data'!B15</f>
        <v>635/0023094459</v>
      </c>
      <c r="C45" s="27" t="str">
        <f>'Student Data'!B43</f>
        <v>636/0024573915</v>
      </c>
      <c r="D45" s="27" t="str">
        <f>'Student Data'!B71</f>
        <v>626/0020229292</v>
      </c>
      <c r="E45" s="26">
        <f>'Student Data'!B99</f>
        <v>0</v>
      </c>
    </row>
    <row r="46" spans="1:5" x14ac:dyDescent="0.25">
      <c r="A46" s="30">
        <v>13</v>
      </c>
      <c r="B46" s="26" t="str">
        <f>'Student Data'!B16</f>
        <v>641/0023094455</v>
      </c>
      <c r="C46" s="27" t="str">
        <f>'Student Data'!B44</f>
        <v>638/0012144469</v>
      </c>
      <c r="D46" s="27" t="str">
        <f>'Student Data'!B72</f>
        <v>630/0010126340</v>
      </c>
      <c r="E46" s="26">
        <f>'Student Data'!B100</f>
        <v>0</v>
      </c>
    </row>
    <row r="47" spans="1:5" x14ac:dyDescent="0.25">
      <c r="A47" s="30">
        <v>14</v>
      </c>
      <c r="B47" s="26" t="str">
        <f>'Student Data'!B17</f>
        <v>644/0025273819</v>
      </c>
      <c r="C47" s="27" t="str">
        <f>'Student Data'!B45</f>
        <v>640/0020390099</v>
      </c>
      <c r="D47" s="27" t="str">
        <f>'Student Data'!B73</f>
        <v>631/0021896926</v>
      </c>
      <c r="E47" s="26">
        <f>'Student Data'!B101</f>
        <v>0</v>
      </c>
    </row>
    <row r="48" spans="1:5" x14ac:dyDescent="0.25">
      <c r="A48" s="30">
        <v>15</v>
      </c>
      <c r="B48" s="26" t="str">
        <f>'Student Data'!B18</f>
        <v>646/0023094503</v>
      </c>
      <c r="C48" s="27" t="str">
        <f>'Student Data'!B46</f>
        <v>647/0027801582</v>
      </c>
      <c r="D48" s="27" t="str">
        <f>'Student Data'!B74</f>
        <v>633/0023094478</v>
      </c>
      <c r="E48" s="26">
        <f>'Student Data'!B102</f>
        <v>0</v>
      </c>
    </row>
    <row r="49" spans="1:5" x14ac:dyDescent="0.25">
      <c r="A49" s="30">
        <v>16</v>
      </c>
      <c r="B49" s="26" t="str">
        <f>'Student Data'!B19</f>
        <v>650/0016158284</v>
      </c>
      <c r="C49" s="27" t="str">
        <f>'Student Data'!B47</f>
        <v>649/0022395199</v>
      </c>
      <c r="D49" s="27" t="str">
        <f>'Student Data'!B75</f>
        <v>639/</v>
      </c>
      <c r="E49" s="26">
        <f>'Student Data'!B103</f>
        <v>0</v>
      </c>
    </row>
    <row r="50" spans="1:5" x14ac:dyDescent="0.25">
      <c r="A50" s="30">
        <v>17</v>
      </c>
      <c r="B50" s="26" t="str">
        <f>'Student Data'!B20</f>
        <v>651/0016055018</v>
      </c>
      <c r="C50" s="27" t="str">
        <f>'Student Data'!B48</f>
        <v>655/0023094470</v>
      </c>
      <c r="D50" s="27">
        <f>'Student Data'!B76</f>
        <v>0</v>
      </c>
      <c r="E50" s="26">
        <f>'Student Data'!B104</f>
        <v>0</v>
      </c>
    </row>
    <row r="51" spans="1:5" x14ac:dyDescent="0.25">
      <c r="A51" s="30">
        <v>18</v>
      </c>
      <c r="B51" s="26" t="str">
        <f>'Student Data'!B21</f>
        <v>654/0023094448</v>
      </c>
      <c r="C51" s="27" t="str">
        <f>'Student Data'!B49</f>
        <v>660/0023094447</v>
      </c>
      <c r="D51" s="27">
        <f>'Student Data'!B77</f>
        <v>0</v>
      </c>
      <c r="E51" s="26">
        <f>'Student Data'!B105</f>
        <v>0</v>
      </c>
    </row>
    <row r="52" spans="1:5" x14ac:dyDescent="0.25">
      <c r="A52" s="30">
        <v>19</v>
      </c>
      <c r="B52" s="26" t="str">
        <f>'Student Data'!B22</f>
        <v>657/0020750427</v>
      </c>
      <c r="C52" s="27" t="str">
        <f>'Student Data'!B50</f>
        <v>659/0020750426</v>
      </c>
      <c r="D52" s="27">
        <f>'Student Data'!B78</f>
        <v>0</v>
      </c>
      <c r="E52" s="26">
        <f>'Student Data'!B106</f>
        <v>0</v>
      </c>
    </row>
    <row r="53" spans="1:5" x14ac:dyDescent="0.25">
      <c r="A53" s="30">
        <v>20</v>
      </c>
      <c r="B53" s="26" t="str">
        <f>'Student Data'!B23</f>
        <v>658/0023879050</v>
      </c>
      <c r="C53" s="27" t="str">
        <f>'Student Data'!B51</f>
        <v>661/0028475590</v>
      </c>
      <c r="D53" s="27">
        <f>'Student Data'!B79</f>
        <v>0</v>
      </c>
      <c r="E53" s="26">
        <f>'Student Data'!B107</f>
        <v>0</v>
      </c>
    </row>
    <row r="54" spans="1:5" x14ac:dyDescent="0.25">
      <c r="A54" s="30">
        <v>21</v>
      </c>
      <c r="B54" s="26" t="str">
        <f>'Student Data'!B24</f>
        <v>663/0024195587</v>
      </c>
      <c r="C54" s="27" t="str">
        <f>'Student Data'!B52</f>
        <v>662/0023094435</v>
      </c>
      <c r="D54" s="27">
        <f>'Student Data'!B80</f>
        <v>0</v>
      </c>
      <c r="E54" s="26">
        <f>'Student Data'!B108</f>
        <v>0</v>
      </c>
    </row>
    <row r="55" spans="1:5" x14ac:dyDescent="0.25">
      <c r="A55" s="30">
        <v>22</v>
      </c>
      <c r="B55" s="26">
        <f>'Student Data'!B25</f>
        <v>0</v>
      </c>
      <c r="C55" s="27">
        <f>'Student Data'!B53</f>
        <v>0</v>
      </c>
      <c r="D55" s="27">
        <f>'Student Data'!B81</f>
        <v>0</v>
      </c>
      <c r="E55" s="26">
        <f>'Student Data'!B109</f>
        <v>0</v>
      </c>
    </row>
    <row r="56" spans="1:5" x14ac:dyDescent="0.25">
      <c r="A56" s="30">
        <v>23</v>
      </c>
      <c r="B56" s="26">
        <f>'Student Data'!B26</f>
        <v>0</v>
      </c>
      <c r="C56" s="27">
        <f>'Student Data'!B54</f>
        <v>0</v>
      </c>
      <c r="D56" s="27">
        <f>'Student Data'!B82</f>
        <v>0</v>
      </c>
      <c r="E56" s="26">
        <f>'Student Data'!B110</f>
        <v>0</v>
      </c>
    </row>
    <row r="57" spans="1:5" x14ac:dyDescent="0.25">
      <c r="A57" s="30">
        <v>24</v>
      </c>
      <c r="B57" s="26">
        <f>'Student Data'!B27</f>
        <v>0</v>
      </c>
      <c r="C57" s="27">
        <f>'Student Data'!B55</f>
        <v>0</v>
      </c>
      <c r="D57" s="27">
        <f>'Student Data'!B83</f>
        <v>0</v>
      </c>
      <c r="E57" s="26">
        <f>'Student Data'!B111</f>
        <v>0</v>
      </c>
    </row>
    <row r="58" spans="1:5" x14ac:dyDescent="0.25">
      <c r="A58" s="30">
        <v>25</v>
      </c>
      <c r="B58" s="26">
        <f>'Student Data'!B28</f>
        <v>0</v>
      </c>
      <c r="C58" s="27">
        <f>'Student Data'!B56</f>
        <v>0</v>
      </c>
      <c r="D58" s="27">
        <f>'Student Data'!B84</f>
        <v>0</v>
      </c>
      <c r="E58" s="26">
        <f>'Student Data'!B112</f>
        <v>0</v>
      </c>
    </row>
    <row r="59" spans="1:5" x14ac:dyDescent="0.25">
      <c r="A59" s="28"/>
    </row>
    <row r="60" spans="1:5" x14ac:dyDescent="0.25">
      <c r="A60" s="28"/>
    </row>
    <row r="61" spans="1:5" ht="31.5" x14ac:dyDescent="0.5">
      <c r="A61" s="31" t="s">
        <v>228</v>
      </c>
      <c r="B61" s="1"/>
      <c r="C61" s="1"/>
      <c r="D61" s="1"/>
      <c r="E61" s="1"/>
    </row>
    <row r="62" spans="1:5" x14ac:dyDescent="0.25">
      <c r="A62" s="28"/>
      <c r="B62" s="4"/>
      <c r="C62" s="4"/>
      <c r="D62" s="4"/>
      <c r="E62" s="4"/>
    </row>
    <row r="63" spans="1:5" x14ac:dyDescent="0.25">
      <c r="A63" s="30">
        <v>1</v>
      </c>
      <c r="B63" s="12">
        <v>10.1</v>
      </c>
      <c r="C63" s="12">
        <v>10.199999999999999</v>
      </c>
      <c r="D63" s="12">
        <v>10.3</v>
      </c>
      <c r="E63" s="12">
        <v>10.4</v>
      </c>
    </row>
    <row r="64" spans="1:5" x14ac:dyDescent="0.25">
      <c r="A64" s="30">
        <v>2</v>
      </c>
      <c r="B64" s="26" t="str">
        <f>'Student Data'!D5</f>
        <v>M</v>
      </c>
      <c r="C64" s="27" t="str">
        <f>'Student Data'!D33</f>
        <v>F</v>
      </c>
      <c r="D64" s="27" t="str">
        <f>'Student Data'!D61</f>
        <v>M</v>
      </c>
      <c r="E64" s="26">
        <f>'Student Data'!D89</f>
        <v>0</v>
      </c>
    </row>
    <row r="65" spans="1:5" x14ac:dyDescent="0.25">
      <c r="A65" s="30">
        <v>3</v>
      </c>
      <c r="B65" s="26" t="str">
        <f>'Student Data'!D6</f>
        <v>M</v>
      </c>
      <c r="C65" s="27" t="str">
        <f>'Student Data'!D34</f>
        <v>F</v>
      </c>
      <c r="D65" s="27" t="str">
        <f>'Student Data'!D62</f>
        <v>M</v>
      </c>
      <c r="E65" s="26">
        <f>'Student Data'!D90</f>
        <v>0</v>
      </c>
    </row>
    <row r="66" spans="1:5" x14ac:dyDescent="0.25">
      <c r="A66" s="30">
        <v>4</v>
      </c>
      <c r="B66" s="26" t="str">
        <f>'Student Data'!D7</f>
        <v>F</v>
      </c>
      <c r="C66" s="27" t="str">
        <f>'Student Data'!D35</f>
        <v>F</v>
      </c>
      <c r="D66" s="27" t="str">
        <f>'Student Data'!D63</f>
        <v>F</v>
      </c>
      <c r="E66" s="26">
        <f>'Student Data'!D91</f>
        <v>0</v>
      </c>
    </row>
    <row r="67" spans="1:5" x14ac:dyDescent="0.25">
      <c r="A67" s="30">
        <v>5</v>
      </c>
      <c r="B67" s="26" t="str">
        <f>'Student Data'!D8</f>
        <v>F</v>
      </c>
      <c r="C67" s="27" t="str">
        <f>'Student Data'!D36</f>
        <v>M</v>
      </c>
      <c r="D67" s="27" t="str">
        <f>'Student Data'!D64</f>
        <v>M</v>
      </c>
      <c r="E67" s="26">
        <f>'Student Data'!D92</f>
        <v>0</v>
      </c>
    </row>
    <row r="68" spans="1:5" x14ac:dyDescent="0.25">
      <c r="A68" s="30">
        <v>6</v>
      </c>
      <c r="B68" s="26" t="str">
        <f>'Student Data'!D9</f>
        <v>M</v>
      </c>
      <c r="C68" s="27" t="str">
        <f>'Student Data'!D37</f>
        <v>F</v>
      </c>
      <c r="D68" s="27" t="str">
        <f>'Student Data'!D65</f>
        <v>M</v>
      </c>
      <c r="E68" s="26">
        <f>'Student Data'!D93</f>
        <v>0</v>
      </c>
    </row>
    <row r="69" spans="1:5" x14ac:dyDescent="0.25">
      <c r="A69" s="30">
        <v>7</v>
      </c>
      <c r="B69" s="26" t="str">
        <f>'Student Data'!D10</f>
        <v>M</v>
      </c>
      <c r="C69" s="27" t="str">
        <f>'Student Data'!D38</f>
        <v>M</v>
      </c>
      <c r="D69" s="27" t="str">
        <f>'Student Data'!D66</f>
        <v>M</v>
      </c>
      <c r="E69" s="26">
        <f>'Student Data'!D94</f>
        <v>0</v>
      </c>
    </row>
    <row r="70" spans="1:5" x14ac:dyDescent="0.25">
      <c r="A70" s="30">
        <v>8</v>
      </c>
      <c r="B70" s="26" t="str">
        <f>'Student Data'!D11</f>
        <v>M</v>
      </c>
      <c r="C70" s="27" t="str">
        <f>'Student Data'!D39</f>
        <v>M</v>
      </c>
      <c r="D70" s="27" t="str">
        <f>'Student Data'!D67</f>
        <v>F</v>
      </c>
      <c r="E70" s="26">
        <f>'Student Data'!D95</f>
        <v>0</v>
      </c>
    </row>
    <row r="71" spans="1:5" x14ac:dyDescent="0.25">
      <c r="A71" s="30">
        <v>9</v>
      </c>
      <c r="B71" s="26" t="str">
        <f>'Student Data'!D12</f>
        <v>F</v>
      </c>
      <c r="C71" s="27" t="str">
        <f>'Student Data'!D40</f>
        <v>M</v>
      </c>
      <c r="D71" s="27" t="str">
        <f>'Student Data'!D68</f>
        <v>M</v>
      </c>
      <c r="E71" s="26">
        <f>'Student Data'!D96</f>
        <v>0</v>
      </c>
    </row>
    <row r="72" spans="1:5" x14ac:dyDescent="0.25">
      <c r="A72" s="30">
        <v>10</v>
      </c>
      <c r="B72" s="26" t="str">
        <f>'Student Data'!D13</f>
        <v>M</v>
      </c>
      <c r="C72" s="27" t="str">
        <f>'Student Data'!D41</f>
        <v>F</v>
      </c>
      <c r="D72" s="27" t="str">
        <f>'Student Data'!D69</f>
        <v>M</v>
      </c>
      <c r="E72" s="26">
        <f>'Student Data'!D97</f>
        <v>0</v>
      </c>
    </row>
    <row r="73" spans="1:5" x14ac:dyDescent="0.25">
      <c r="A73" s="30">
        <v>11</v>
      </c>
      <c r="B73" s="26" t="str">
        <f>'Student Data'!D14</f>
        <v>F</v>
      </c>
      <c r="C73" s="27" t="str">
        <f>'Student Data'!D42</f>
        <v>M</v>
      </c>
      <c r="D73" s="27" t="str">
        <f>'Student Data'!D70</f>
        <v>F</v>
      </c>
      <c r="E73" s="26">
        <f>'Student Data'!D98</f>
        <v>0</v>
      </c>
    </row>
    <row r="74" spans="1:5" x14ac:dyDescent="0.25">
      <c r="A74" s="30">
        <v>12</v>
      </c>
      <c r="B74" s="26" t="str">
        <f>'Student Data'!D15</f>
        <v>M</v>
      </c>
      <c r="C74" s="27" t="str">
        <f>'Student Data'!D43</f>
        <v>M</v>
      </c>
      <c r="D74" s="27" t="str">
        <f>'Student Data'!D71</f>
        <v>M</v>
      </c>
      <c r="E74" s="26">
        <f>'Student Data'!D99</f>
        <v>0</v>
      </c>
    </row>
    <row r="75" spans="1:5" x14ac:dyDescent="0.25">
      <c r="A75" s="30">
        <v>13</v>
      </c>
      <c r="B75" s="26" t="str">
        <f>'Student Data'!D16</f>
        <v>M</v>
      </c>
      <c r="C75" s="27" t="str">
        <f>'Student Data'!D44</f>
        <v>F</v>
      </c>
      <c r="D75" s="27" t="str">
        <f>'Student Data'!D72</f>
        <v>M</v>
      </c>
      <c r="E75" s="26">
        <f>'Student Data'!D100</f>
        <v>0</v>
      </c>
    </row>
    <row r="76" spans="1:5" x14ac:dyDescent="0.25">
      <c r="A76" s="30">
        <v>14</v>
      </c>
      <c r="B76" s="26" t="str">
        <f>'Student Data'!D17</f>
        <v>F</v>
      </c>
      <c r="C76" s="27" t="str">
        <f>'Student Data'!D45</f>
        <v>M</v>
      </c>
      <c r="D76" s="27" t="str">
        <f>'Student Data'!D73</f>
        <v>F</v>
      </c>
      <c r="E76" s="26">
        <f>'Student Data'!D101</f>
        <v>0</v>
      </c>
    </row>
    <row r="77" spans="1:5" x14ac:dyDescent="0.25">
      <c r="A77" s="30">
        <v>15</v>
      </c>
      <c r="B77" s="26" t="str">
        <f>'Student Data'!D18</f>
        <v>F</v>
      </c>
      <c r="C77" s="27" t="str">
        <f>'Student Data'!D46</f>
        <v>M</v>
      </c>
      <c r="D77" s="27" t="str">
        <f>'Student Data'!D74</f>
        <v>F</v>
      </c>
      <c r="E77" s="26">
        <f>'Student Data'!D102</f>
        <v>0</v>
      </c>
    </row>
    <row r="78" spans="1:5" x14ac:dyDescent="0.25">
      <c r="A78" s="30">
        <v>16</v>
      </c>
      <c r="B78" s="26" t="str">
        <f>'Student Data'!D19</f>
        <v>F</v>
      </c>
      <c r="C78" s="27" t="str">
        <f>'Student Data'!D47</f>
        <v>F</v>
      </c>
      <c r="D78" s="27" t="str">
        <f>'Student Data'!D75</f>
        <v>F</v>
      </c>
      <c r="E78" s="26">
        <f>'Student Data'!D103</f>
        <v>0</v>
      </c>
    </row>
    <row r="79" spans="1:5" x14ac:dyDescent="0.25">
      <c r="A79" s="30">
        <v>17</v>
      </c>
      <c r="B79" s="26" t="str">
        <f>'Student Data'!D20</f>
        <v>M</v>
      </c>
      <c r="C79" s="27" t="str">
        <f>'Student Data'!D48</f>
        <v>M</v>
      </c>
      <c r="D79" s="27" t="str">
        <f>'Student Data'!D76</f>
        <v>F</v>
      </c>
      <c r="E79" s="26">
        <f>'Student Data'!D104</f>
        <v>0</v>
      </c>
    </row>
    <row r="80" spans="1:5" x14ac:dyDescent="0.25">
      <c r="A80" s="30">
        <v>18</v>
      </c>
      <c r="B80" s="26" t="str">
        <f>'Student Data'!D21</f>
        <v>F</v>
      </c>
      <c r="C80" s="27" t="str">
        <f>'Student Data'!D49</f>
        <v>F</v>
      </c>
      <c r="D80" s="27" t="str">
        <f>'Student Data'!D77</f>
        <v>M</v>
      </c>
      <c r="E80" s="26">
        <f>'Student Data'!D105</f>
        <v>0</v>
      </c>
    </row>
    <row r="81" spans="1:5" x14ac:dyDescent="0.25">
      <c r="A81" s="30">
        <v>19</v>
      </c>
      <c r="B81" s="26" t="str">
        <f>'Student Data'!D22</f>
        <v>F</v>
      </c>
      <c r="C81" s="27" t="str">
        <f>'Student Data'!D50</f>
        <v>M</v>
      </c>
      <c r="D81" s="27" t="str">
        <f>'Student Data'!D78</f>
        <v>M</v>
      </c>
      <c r="E81" s="26">
        <f>'Student Data'!D106</f>
        <v>0</v>
      </c>
    </row>
    <row r="82" spans="1:5" x14ac:dyDescent="0.25">
      <c r="A82" s="30">
        <v>20</v>
      </c>
      <c r="B82" s="26" t="str">
        <f>'Student Data'!D23</f>
        <v>M</v>
      </c>
      <c r="C82" s="27" t="str">
        <f>'Student Data'!D51</f>
        <v>F</v>
      </c>
      <c r="D82" s="27" t="str">
        <f>'Student Data'!D79</f>
        <v>M</v>
      </c>
      <c r="E82" s="26">
        <f>'Student Data'!D107</f>
        <v>0</v>
      </c>
    </row>
    <row r="83" spans="1:5" x14ac:dyDescent="0.25">
      <c r="A83" s="30">
        <v>21</v>
      </c>
      <c r="B83" s="26" t="str">
        <f>'Student Data'!D24</f>
        <v>F</v>
      </c>
      <c r="C83" s="27" t="str">
        <f>'Student Data'!D52</f>
        <v>M</v>
      </c>
      <c r="D83" s="27" t="str">
        <f>'Student Data'!D80</f>
        <v>M</v>
      </c>
      <c r="E83" s="26">
        <f>'Student Data'!D108</f>
        <v>0</v>
      </c>
    </row>
    <row r="84" spans="1:5" x14ac:dyDescent="0.25">
      <c r="A84" s="30">
        <v>22</v>
      </c>
      <c r="B84" s="26">
        <f>'Student Data'!D25</f>
        <v>0</v>
      </c>
      <c r="C84" s="27">
        <f>'Student Data'!D53</f>
        <v>0</v>
      </c>
      <c r="D84" s="27">
        <f>'Student Data'!D81</f>
        <v>0</v>
      </c>
      <c r="E84" s="26">
        <f>'Student Data'!D109</f>
        <v>0</v>
      </c>
    </row>
    <row r="85" spans="1:5" x14ac:dyDescent="0.25">
      <c r="A85" s="30">
        <v>23</v>
      </c>
      <c r="B85" s="26">
        <f>'Student Data'!D26</f>
        <v>0</v>
      </c>
      <c r="C85" s="27">
        <f>'Student Data'!D54</f>
        <v>0</v>
      </c>
      <c r="D85" s="27">
        <f>'Student Data'!D82</f>
        <v>0</v>
      </c>
      <c r="E85" s="26">
        <f>'Student Data'!D110</f>
        <v>0</v>
      </c>
    </row>
    <row r="86" spans="1:5" x14ac:dyDescent="0.25">
      <c r="A86" s="30">
        <v>24</v>
      </c>
      <c r="B86" s="26">
        <f>'Student Data'!D27</f>
        <v>0</v>
      </c>
      <c r="C86" s="27">
        <f>'Student Data'!D55</f>
        <v>0</v>
      </c>
      <c r="D86" s="27">
        <f>'Student Data'!D83</f>
        <v>0</v>
      </c>
      <c r="E86" s="26">
        <f>'Student Data'!D111</f>
        <v>0</v>
      </c>
    </row>
    <row r="87" spans="1:5" x14ac:dyDescent="0.25">
      <c r="A87" s="32">
        <v>25</v>
      </c>
      <c r="B87" s="26">
        <f>'Student Data'!D28</f>
        <v>0</v>
      </c>
      <c r="C87" s="27">
        <f>'Student Data'!D56</f>
        <v>0</v>
      </c>
      <c r="D87" s="27">
        <f>'Student Data'!D84</f>
        <v>0</v>
      </c>
      <c r="E87" s="26">
        <f>'Student Data'!D112</f>
        <v>0</v>
      </c>
    </row>
    <row r="88" spans="1:5" x14ac:dyDescent="0.25">
      <c r="A88" s="28"/>
    </row>
    <row r="89" spans="1:5" x14ac:dyDescent="0.25">
      <c r="A89" s="28"/>
    </row>
    <row r="90" spans="1:5" ht="31.5" x14ac:dyDescent="0.5">
      <c r="A90" s="31" t="s">
        <v>229</v>
      </c>
      <c r="B90" s="1"/>
      <c r="C90" s="1"/>
      <c r="D90" s="1"/>
      <c r="E90" s="1"/>
    </row>
    <row r="91" spans="1:5" x14ac:dyDescent="0.25">
      <c r="A91" s="28"/>
      <c r="B91" s="4"/>
      <c r="C91" s="4"/>
      <c r="D91" s="4"/>
      <c r="E91" s="4"/>
    </row>
    <row r="92" spans="1:5" x14ac:dyDescent="0.25">
      <c r="A92" s="30">
        <v>1</v>
      </c>
      <c r="B92" s="12">
        <v>10.1</v>
      </c>
      <c r="C92" s="12">
        <v>10.199999999999999</v>
      </c>
      <c r="D92" s="12">
        <v>10.3</v>
      </c>
      <c r="E92" s="12">
        <v>10.4</v>
      </c>
    </row>
    <row r="93" spans="1:5" x14ac:dyDescent="0.25">
      <c r="A93" s="30">
        <v>2</v>
      </c>
      <c r="B93" s="26" t="str">
        <f>'Student Data'!E5</f>
        <v>18 December 2001</v>
      </c>
      <c r="C93" s="27" t="str">
        <f>'Student Data'!E33</f>
        <v>14 August 2002</v>
      </c>
      <c r="D93" s="27" t="str">
        <f>'Student Data'!E61</f>
        <v>28 December 2001</v>
      </c>
      <c r="E93" s="26">
        <f>'Student Data'!E89</f>
        <v>0</v>
      </c>
    </row>
    <row r="94" spans="1:5" x14ac:dyDescent="0.25">
      <c r="A94" s="30">
        <v>3</v>
      </c>
      <c r="B94" s="26" t="str">
        <f>'Student Data'!E6</f>
        <v>27 March 2002</v>
      </c>
      <c r="C94" s="27" t="str">
        <f>'Student Data'!E34</f>
        <v>1 January 2002</v>
      </c>
      <c r="D94" s="27" t="str">
        <f>'Student Data'!E62</f>
        <v>12 October 2002</v>
      </c>
      <c r="E94" s="26">
        <f>'Student Data'!E90</f>
        <v>0</v>
      </c>
    </row>
    <row r="95" spans="1:5" x14ac:dyDescent="0.25">
      <c r="A95" s="30">
        <v>4</v>
      </c>
      <c r="B95" s="26" t="str">
        <f>'Student Data'!E7</f>
        <v>11 November 2002</v>
      </c>
      <c r="C95" s="27" t="str">
        <f>'Student Data'!E35</f>
        <v>12 April 2002</v>
      </c>
      <c r="D95" s="27" t="str">
        <f>'Student Data'!E63</f>
        <v>17 June 2002</v>
      </c>
      <c r="E95" s="26">
        <f>'Student Data'!E91</f>
        <v>0</v>
      </c>
    </row>
    <row r="96" spans="1:5" x14ac:dyDescent="0.25">
      <c r="A96" s="30">
        <v>5</v>
      </c>
      <c r="B96" s="26" t="str">
        <f>'Student Data'!E8</f>
        <v>31 May 2002</v>
      </c>
      <c r="C96" s="27" t="str">
        <f>'Student Data'!E36</f>
        <v>3 November 2002</v>
      </c>
      <c r="D96" s="27" t="str">
        <f>'Student Data'!E64</f>
        <v>19 September 2002</v>
      </c>
      <c r="E96" s="26">
        <f>'Student Data'!E92</f>
        <v>0</v>
      </c>
    </row>
    <row r="97" spans="1:5" x14ac:dyDescent="0.25">
      <c r="A97" s="30">
        <v>6</v>
      </c>
      <c r="B97" s="26" t="str">
        <f>'Student Data'!E9</f>
        <v>26 March 2002</v>
      </c>
      <c r="C97" s="27" t="str">
        <f>'Student Data'!E37</f>
        <v>1 June 2002</v>
      </c>
      <c r="D97" s="27" t="str">
        <f>'Student Data'!E65</f>
        <v>12 December 2001</v>
      </c>
      <c r="E97" s="26">
        <f>'Student Data'!E93</f>
        <v>0</v>
      </c>
    </row>
    <row r="98" spans="1:5" x14ac:dyDescent="0.25">
      <c r="A98" s="30">
        <v>7</v>
      </c>
      <c r="B98" s="26" t="str">
        <f>'Student Data'!E10</f>
        <v>18 January 2002</v>
      </c>
      <c r="C98" s="27" t="str">
        <f>'Student Data'!E38</f>
        <v>10 March 2002</v>
      </c>
      <c r="D98" s="27" t="str">
        <f>'Student Data'!E66</f>
        <v>26 July 2002</v>
      </c>
      <c r="E98" s="26">
        <f>'Student Data'!E94</f>
        <v>0</v>
      </c>
    </row>
    <row r="99" spans="1:5" x14ac:dyDescent="0.25">
      <c r="A99" s="30">
        <v>8</v>
      </c>
      <c r="B99" s="26" t="str">
        <f>'Student Data'!E11</f>
        <v>22 October 2001</v>
      </c>
      <c r="C99" s="27" t="str">
        <f>'Student Data'!E39</f>
        <v>1 December 2002</v>
      </c>
      <c r="D99" s="27" t="str">
        <f>'Student Data'!E67</f>
        <v>22 July 2002</v>
      </c>
      <c r="E99" s="26">
        <f>'Student Data'!E95</f>
        <v>0</v>
      </c>
    </row>
    <row r="100" spans="1:5" x14ac:dyDescent="0.25">
      <c r="A100" s="30">
        <v>9</v>
      </c>
      <c r="B100" s="26" t="str">
        <f>'Student Data'!E12</f>
        <v>14 September 2002</v>
      </c>
      <c r="C100" s="27" t="str">
        <f>'Student Data'!E40</f>
        <v>4 Februari 2002</v>
      </c>
      <c r="D100" s="27" t="str">
        <f>'Student Data'!E68</f>
        <v>26 October 2002</v>
      </c>
      <c r="E100" s="26">
        <f>'Student Data'!E96</f>
        <v>0</v>
      </c>
    </row>
    <row r="101" spans="1:5" x14ac:dyDescent="0.25">
      <c r="A101" s="30">
        <v>10</v>
      </c>
      <c r="B101" s="26" t="str">
        <f>'Student Data'!E13</f>
        <v>14 August 2002</v>
      </c>
      <c r="C101" s="27" t="str">
        <f>'Student Data'!E41</f>
        <v>28 August 2002</v>
      </c>
      <c r="D101" s="27" t="str">
        <f>'Student Data'!E69</f>
        <v>4 February 2002</v>
      </c>
      <c r="E101" s="26">
        <f>'Student Data'!E97</f>
        <v>0</v>
      </c>
    </row>
    <row r="102" spans="1:5" x14ac:dyDescent="0.25">
      <c r="A102" s="30">
        <v>11</v>
      </c>
      <c r="B102" s="26" t="str">
        <f>'Student Data'!E14</f>
        <v>3 February 2002</v>
      </c>
      <c r="C102" s="27" t="str">
        <f>'Student Data'!E42</f>
        <v>24 July 2002</v>
      </c>
      <c r="D102" s="27" t="str">
        <f>'Student Data'!E70</f>
        <v>15 September 2002</v>
      </c>
      <c r="E102" s="26">
        <f>'Student Data'!E98</f>
        <v>0</v>
      </c>
    </row>
    <row r="103" spans="1:5" x14ac:dyDescent="0.25">
      <c r="A103" s="30">
        <v>12</v>
      </c>
      <c r="B103" s="26" t="str">
        <f>'Student Data'!E15</f>
        <v>7 May 2002</v>
      </c>
      <c r="C103" s="27" t="str">
        <f>'Student Data'!E43</f>
        <v>6 May 2002</v>
      </c>
      <c r="D103" s="27" t="str">
        <f>'Student Data'!E71</f>
        <v>12 September 2002</v>
      </c>
      <c r="E103" s="26">
        <f>'Student Data'!E99</f>
        <v>0</v>
      </c>
    </row>
    <row r="104" spans="1:5" x14ac:dyDescent="0.25">
      <c r="A104" s="30">
        <v>13</v>
      </c>
      <c r="B104" s="26" t="str">
        <f>'Student Data'!E16</f>
        <v>25 April 2002</v>
      </c>
      <c r="C104" s="27" t="str">
        <f>'Student Data'!E44</f>
        <v>12 December 2001</v>
      </c>
      <c r="D104" s="27" t="str">
        <f>'Student Data'!E72</f>
        <v>18 January 2001</v>
      </c>
      <c r="E104" s="26">
        <f>'Student Data'!E100</f>
        <v>0</v>
      </c>
    </row>
    <row r="105" spans="1:5" x14ac:dyDescent="0.25">
      <c r="A105" s="30">
        <v>14</v>
      </c>
      <c r="B105" s="26" t="str">
        <f>'Student Data'!E17</f>
        <v>18 June 2002</v>
      </c>
      <c r="C105" s="27" t="str">
        <f>'Student Data'!E45</f>
        <v>3 April 2002</v>
      </c>
      <c r="D105" s="27">
        <f>'Student Data'!E73</f>
        <v>0</v>
      </c>
      <c r="E105" s="26">
        <f>'Student Data'!E101</f>
        <v>0</v>
      </c>
    </row>
    <row r="106" spans="1:5" x14ac:dyDescent="0.25">
      <c r="A106" s="30">
        <v>15</v>
      </c>
      <c r="B106" s="26" t="str">
        <f>'Student Data'!E18</f>
        <v>16 December 2002</v>
      </c>
      <c r="C106" s="27" t="str">
        <f>'Student Data'!E46</f>
        <v>4 September 2002</v>
      </c>
      <c r="D106" s="27">
        <f>'Student Data'!E74</f>
        <v>0</v>
      </c>
      <c r="E106" s="26">
        <f>'Student Data'!E102</f>
        <v>0</v>
      </c>
    </row>
    <row r="107" spans="1:5" x14ac:dyDescent="0.25">
      <c r="A107" s="30">
        <v>16</v>
      </c>
      <c r="B107" s="26" t="str">
        <f>'Student Data'!E19</f>
        <v>2 December 2001</v>
      </c>
      <c r="C107" s="27" t="str">
        <f>'Student Data'!E47</f>
        <v>3 September 2002</v>
      </c>
      <c r="D107" s="27">
        <f>'Student Data'!E75</f>
        <v>0</v>
      </c>
      <c r="E107" s="26">
        <f>'Student Data'!E103</f>
        <v>0</v>
      </c>
    </row>
    <row r="108" spans="1:5" x14ac:dyDescent="0.25">
      <c r="A108" s="30">
        <v>17</v>
      </c>
      <c r="B108" s="26" t="str">
        <f>'Student Data'!E20</f>
        <v>26 February 2001</v>
      </c>
      <c r="C108" s="27" t="str">
        <f>'Student Data'!E48</f>
        <v>27 June 2002</v>
      </c>
      <c r="D108" s="27">
        <f>'Student Data'!E76</f>
        <v>0</v>
      </c>
      <c r="E108" s="26">
        <f>'Student Data'!E104</f>
        <v>0</v>
      </c>
    </row>
    <row r="109" spans="1:5" x14ac:dyDescent="0.25">
      <c r="A109" s="30">
        <v>18</v>
      </c>
      <c r="B109" s="26" t="str">
        <f>'Student Data'!E21</f>
        <v>3 March 2003</v>
      </c>
      <c r="C109" s="27" t="str">
        <f>'Student Data'!E49</f>
        <v>25 February 2002</v>
      </c>
      <c r="D109" s="27">
        <f>'Student Data'!E77</f>
        <v>0</v>
      </c>
      <c r="E109" s="26">
        <f>'Student Data'!E105</f>
        <v>0</v>
      </c>
    </row>
    <row r="110" spans="1:5" x14ac:dyDescent="0.25">
      <c r="A110" s="30">
        <v>19</v>
      </c>
      <c r="B110" s="26" t="str">
        <f>'Student Data'!E22</f>
        <v>24 June 2002</v>
      </c>
      <c r="C110" s="27" t="str">
        <f>'Student Data'!E50</f>
        <v>24 June 2002</v>
      </c>
      <c r="D110" s="27">
        <f>'Student Data'!E78</f>
        <v>0</v>
      </c>
      <c r="E110" s="26">
        <f>'Student Data'!E106</f>
        <v>0</v>
      </c>
    </row>
    <row r="111" spans="1:5" x14ac:dyDescent="0.25">
      <c r="A111" s="30">
        <v>20</v>
      </c>
      <c r="B111" s="26" t="str">
        <f>'Student Data'!E23</f>
        <v>30 May 2002</v>
      </c>
      <c r="C111" s="27" t="str">
        <f>'Student Data'!E51</f>
        <v>1 Feburary 2002</v>
      </c>
      <c r="D111" s="27">
        <f>'Student Data'!E79</f>
        <v>0</v>
      </c>
      <c r="E111" s="26">
        <f>'Student Data'!E107</f>
        <v>0</v>
      </c>
    </row>
    <row r="112" spans="1:5" x14ac:dyDescent="0.25">
      <c r="A112" s="30">
        <v>21</v>
      </c>
      <c r="B112" s="26" t="str">
        <f>'Student Data'!E24</f>
        <v>4 February 2002</v>
      </c>
      <c r="C112" s="27" t="str">
        <f>'Student Data'!E52</f>
        <v>2 January 2002</v>
      </c>
      <c r="D112" s="27">
        <f>'Student Data'!E80</f>
        <v>0</v>
      </c>
      <c r="E112" s="26">
        <f>'Student Data'!E108</f>
        <v>0</v>
      </c>
    </row>
    <row r="113" spans="1:5" x14ac:dyDescent="0.25">
      <c r="A113" s="30">
        <v>22</v>
      </c>
      <c r="B113" s="26">
        <f>'Student Data'!E25</f>
        <v>0</v>
      </c>
      <c r="C113" s="27">
        <f>'Student Data'!E53</f>
        <v>0</v>
      </c>
      <c r="D113" s="27">
        <f>'Student Data'!E81</f>
        <v>0</v>
      </c>
      <c r="E113" s="26">
        <f>'Student Data'!E109</f>
        <v>0</v>
      </c>
    </row>
    <row r="114" spans="1:5" x14ac:dyDescent="0.25">
      <c r="A114" s="30">
        <v>23</v>
      </c>
      <c r="B114" s="26">
        <f>'Student Data'!E26</f>
        <v>0</v>
      </c>
      <c r="C114" s="27">
        <f>'Student Data'!E54</f>
        <v>0</v>
      </c>
      <c r="D114" s="27">
        <f>'Student Data'!E82</f>
        <v>0</v>
      </c>
      <c r="E114" s="26">
        <f>'Student Data'!E110</f>
        <v>0</v>
      </c>
    </row>
    <row r="115" spans="1:5" x14ac:dyDescent="0.25">
      <c r="A115" s="30">
        <v>24</v>
      </c>
      <c r="B115" s="26">
        <f>'Student Data'!E27</f>
        <v>0</v>
      </c>
      <c r="C115" s="27">
        <f>'Student Data'!E55</f>
        <v>0</v>
      </c>
      <c r="D115" s="27">
        <f>'Student Data'!E83</f>
        <v>0</v>
      </c>
      <c r="E115" s="26">
        <f>'Student Data'!E111</f>
        <v>0</v>
      </c>
    </row>
    <row r="116" spans="1:5" x14ac:dyDescent="0.25">
      <c r="A116" s="32">
        <v>25</v>
      </c>
      <c r="B116" s="26">
        <f>'Student Data'!E28</f>
        <v>0</v>
      </c>
      <c r="C116" s="27">
        <f>'Student Data'!E56</f>
        <v>0</v>
      </c>
      <c r="D116" s="27">
        <f>'Student Data'!E84</f>
        <v>0</v>
      </c>
      <c r="E116" s="26">
        <f>'Student Data'!E112</f>
        <v>0</v>
      </c>
    </row>
    <row r="119" spans="1:5" ht="31.5" x14ac:dyDescent="0.5">
      <c r="A119" s="31" t="s">
        <v>250</v>
      </c>
    </row>
    <row r="121" spans="1:5" x14ac:dyDescent="0.25">
      <c r="A121" s="30">
        <v>1</v>
      </c>
      <c r="B121" s="12">
        <v>10.1</v>
      </c>
      <c r="C121" s="12">
        <v>10.199999999999999</v>
      </c>
      <c r="D121" s="12">
        <v>10.3</v>
      </c>
      <c r="E121" s="12">
        <v>10.4</v>
      </c>
    </row>
    <row r="122" spans="1:5" x14ac:dyDescent="0.25">
      <c r="A122" s="30">
        <v>2</v>
      </c>
      <c r="B122" s="26">
        <f>'Student Data'!F5</f>
        <v>0</v>
      </c>
      <c r="C122" s="27" t="str">
        <f>'Student Data'!F33</f>
        <v>B</v>
      </c>
      <c r="D122" s="27">
        <f>'Student Data'!F61</f>
        <v>0</v>
      </c>
      <c r="E122" s="26">
        <f>'Student Data'!F89</f>
        <v>0</v>
      </c>
    </row>
    <row r="123" spans="1:5" x14ac:dyDescent="0.25">
      <c r="A123" s="30">
        <v>3</v>
      </c>
      <c r="B123" s="26">
        <f>'Student Data'!F6</f>
        <v>0</v>
      </c>
      <c r="C123" s="27">
        <f>'Student Data'!F34</f>
        <v>0</v>
      </c>
      <c r="D123" s="27" t="str">
        <f>'Student Data'!F62</f>
        <v>B</v>
      </c>
      <c r="E123" s="26" t="str">
        <f>'Student Data'!F90</f>
        <v>B</v>
      </c>
    </row>
    <row r="124" spans="1:5" x14ac:dyDescent="0.25">
      <c r="A124" s="30">
        <v>4</v>
      </c>
      <c r="B124" s="26">
        <f>'Student Data'!F7</f>
        <v>0</v>
      </c>
      <c r="C124" s="27" t="str">
        <f>'Student Data'!F35</f>
        <v>B</v>
      </c>
      <c r="D124" s="27">
        <f>'Student Data'!F63</f>
        <v>0</v>
      </c>
      <c r="E124" s="26">
        <f>'Student Data'!F91</f>
        <v>0</v>
      </c>
    </row>
    <row r="125" spans="1:5" x14ac:dyDescent="0.25">
      <c r="A125" s="30">
        <v>5</v>
      </c>
      <c r="B125" s="26" t="str">
        <f>'Student Data'!F8</f>
        <v>B</v>
      </c>
      <c r="C125" s="27">
        <f>'Student Data'!F36</f>
        <v>0</v>
      </c>
      <c r="D125" s="27">
        <f>'Student Data'!F64</f>
        <v>0</v>
      </c>
      <c r="E125" s="26">
        <f>'Student Data'!F92</f>
        <v>0</v>
      </c>
    </row>
    <row r="126" spans="1:5" x14ac:dyDescent="0.25">
      <c r="A126" s="30">
        <v>6</v>
      </c>
      <c r="B126" s="26" t="str">
        <f>'Student Data'!F9</f>
        <v>B</v>
      </c>
      <c r="C126" s="27" t="str">
        <f>'Student Data'!F37</f>
        <v>B</v>
      </c>
      <c r="D126" s="27" t="str">
        <f>'Student Data'!F65</f>
        <v>B</v>
      </c>
      <c r="E126" s="26" t="str">
        <f>'Student Data'!F93</f>
        <v>B</v>
      </c>
    </row>
    <row r="127" spans="1:5" x14ac:dyDescent="0.25">
      <c r="A127" s="30">
        <v>7</v>
      </c>
      <c r="B127" s="26" t="str">
        <f>'Student Data'!F10</f>
        <v>B</v>
      </c>
      <c r="C127" s="27">
        <f>'Student Data'!F38</f>
        <v>0</v>
      </c>
      <c r="D127" s="27">
        <f>'Student Data'!F66</f>
        <v>0</v>
      </c>
      <c r="E127" s="26" t="str">
        <f>'Student Data'!F94</f>
        <v>B</v>
      </c>
    </row>
    <row r="128" spans="1:5" x14ac:dyDescent="0.25">
      <c r="A128" s="30">
        <v>8</v>
      </c>
      <c r="B128" s="26">
        <f>'Student Data'!F11</f>
        <v>0</v>
      </c>
      <c r="C128" s="27">
        <f>'Student Data'!F39</f>
        <v>0</v>
      </c>
      <c r="D128" s="27" t="str">
        <f>'Student Data'!F67</f>
        <v>B</v>
      </c>
      <c r="E128" s="26">
        <f>'Student Data'!F95</f>
        <v>0</v>
      </c>
    </row>
    <row r="129" spans="1:5" x14ac:dyDescent="0.25">
      <c r="A129" s="30">
        <v>9</v>
      </c>
      <c r="B129" s="26" t="str">
        <f>'Student Data'!F12</f>
        <v>B</v>
      </c>
      <c r="C129" s="27">
        <f>'Student Data'!F40</f>
        <v>0</v>
      </c>
      <c r="D129" s="27">
        <f>'Student Data'!F68</f>
        <v>0</v>
      </c>
      <c r="E129" s="26">
        <f>'Student Data'!F96</f>
        <v>0</v>
      </c>
    </row>
    <row r="130" spans="1:5" x14ac:dyDescent="0.25">
      <c r="A130" s="30">
        <v>10</v>
      </c>
      <c r="B130" s="26" t="str">
        <f>'Student Data'!F13</f>
        <v>B</v>
      </c>
      <c r="C130" s="27">
        <f>'Student Data'!F41</f>
        <v>0</v>
      </c>
      <c r="D130" s="27">
        <f>'Student Data'!F69</f>
        <v>0</v>
      </c>
      <c r="E130" s="26" t="str">
        <f>'Student Data'!F97</f>
        <v>B</v>
      </c>
    </row>
    <row r="131" spans="1:5" x14ac:dyDescent="0.25">
      <c r="A131" s="30">
        <v>11</v>
      </c>
      <c r="B131" s="26">
        <f>'Student Data'!F14</f>
        <v>0</v>
      </c>
      <c r="C131" s="27">
        <f>'Student Data'!F42</f>
        <v>0</v>
      </c>
      <c r="D131" s="27">
        <f>'Student Data'!F70</f>
        <v>0</v>
      </c>
      <c r="E131" s="26" t="str">
        <f>'Student Data'!F98</f>
        <v>B</v>
      </c>
    </row>
    <row r="132" spans="1:5" x14ac:dyDescent="0.25">
      <c r="A132" s="30">
        <v>12</v>
      </c>
      <c r="B132" s="26" t="str">
        <f>'Student Data'!F15</f>
        <v>B</v>
      </c>
      <c r="C132" s="27" t="str">
        <f>'Student Data'!F43</f>
        <v>B</v>
      </c>
      <c r="D132" s="27">
        <f>'Student Data'!F71</f>
        <v>0</v>
      </c>
      <c r="E132" s="26">
        <f>'Student Data'!F99</f>
        <v>0</v>
      </c>
    </row>
    <row r="133" spans="1:5" x14ac:dyDescent="0.25">
      <c r="A133" s="30">
        <v>13</v>
      </c>
      <c r="B133" s="26">
        <f>'Student Data'!F16</f>
        <v>0</v>
      </c>
      <c r="C133" s="27" t="str">
        <f>'Student Data'!F44</f>
        <v>B</v>
      </c>
      <c r="D133" s="27">
        <f>'Student Data'!F72</f>
        <v>0</v>
      </c>
      <c r="E133" s="26">
        <f>'Student Data'!F100</f>
        <v>0</v>
      </c>
    </row>
    <row r="134" spans="1:5" x14ac:dyDescent="0.25">
      <c r="A134" s="30">
        <v>14</v>
      </c>
      <c r="B134" s="26">
        <f>'Student Data'!F17</f>
        <v>0</v>
      </c>
      <c r="C134" s="27" t="str">
        <f>'Student Data'!F45</f>
        <v>B</v>
      </c>
      <c r="D134" s="27" t="str">
        <f>'Student Data'!F73</f>
        <v>B</v>
      </c>
      <c r="E134" s="26">
        <f>'Student Data'!F101</f>
        <v>0</v>
      </c>
    </row>
    <row r="135" spans="1:5" x14ac:dyDescent="0.25">
      <c r="A135" s="30">
        <v>15</v>
      </c>
      <c r="B135" s="26">
        <f>'Student Data'!F18</f>
        <v>0</v>
      </c>
      <c r="C135" s="27">
        <f>'Student Data'!F46</f>
        <v>0</v>
      </c>
      <c r="D135" s="27">
        <f>'Student Data'!F74</f>
        <v>0</v>
      </c>
      <c r="E135" s="26" t="str">
        <f>'Student Data'!F102</f>
        <v>B</v>
      </c>
    </row>
    <row r="136" spans="1:5" x14ac:dyDescent="0.25">
      <c r="A136" s="30">
        <v>16</v>
      </c>
      <c r="B136" s="26" t="str">
        <f>'Student Data'!F19</f>
        <v>B</v>
      </c>
      <c r="C136" s="27" t="str">
        <f>'Student Data'!F47</f>
        <v>B</v>
      </c>
      <c r="D136" s="27" t="str">
        <f>'Student Data'!F75</f>
        <v>B</v>
      </c>
      <c r="E136" s="26">
        <f>'Student Data'!F103</f>
        <v>0</v>
      </c>
    </row>
    <row r="137" spans="1:5" x14ac:dyDescent="0.25">
      <c r="A137" s="30">
        <v>17</v>
      </c>
      <c r="B137" s="26" t="str">
        <f>'Student Data'!F20</f>
        <v>B</v>
      </c>
      <c r="C137" s="27" t="str">
        <f>'Student Data'!F48</f>
        <v>B</v>
      </c>
      <c r="D137" s="27">
        <f>'Student Data'!F76</f>
        <v>0</v>
      </c>
      <c r="E137" s="26" t="str">
        <f>'Student Data'!F104</f>
        <v>B</v>
      </c>
    </row>
    <row r="138" spans="1:5" x14ac:dyDescent="0.25">
      <c r="A138" s="30">
        <v>18</v>
      </c>
      <c r="B138" s="26">
        <f>'Student Data'!F21</f>
        <v>0</v>
      </c>
      <c r="C138" s="27">
        <f>'Student Data'!F49</f>
        <v>0</v>
      </c>
      <c r="D138" s="27" t="str">
        <f>'Student Data'!F77</f>
        <v>B</v>
      </c>
      <c r="E138" s="26" t="str">
        <f>'Student Data'!F105</f>
        <v>B</v>
      </c>
    </row>
    <row r="139" spans="1:5" x14ac:dyDescent="0.25">
      <c r="A139" s="30">
        <v>19</v>
      </c>
      <c r="B139" s="26">
        <f>'Student Data'!F22</f>
        <v>0</v>
      </c>
      <c r="C139" s="27" t="str">
        <f>'Student Data'!F50</f>
        <v>B</v>
      </c>
      <c r="D139" s="27" t="str">
        <f>'Student Data'!F78</f>
        <v>B</v>
      </c>
      <c r="E139" s="26" t="str">
        <f>'Student Data'!F106</f>
        <v>B</v>
      </c>
    </row>
    <row r="140" spans="1:5" x14ac:dyDescent="0.25">
      <c r="A140" s="30">
        <v>20</v>
      </c>
      <c r="B140" s="26" t="str">
        <f>'Student Data'!F23</f>
        <v>B</v>
      </c>
      <c r="C140" s="27">
        <f>'Student Data'!F51</f>
        <v>0</v>
      </c>
      <c r="D140" s="27" t="str">
        <f>'Student Data'!F79</f>
        <v>B</v>
      </c>
      <c r="E140" s="26" t="str">
        <f>'Student Data'!F107</f>
        <v>B</v>
      </c>
    </row>
    <row r="141" spans="1:5" x14ac:dyDescent="0.25">
      <c r="A141" s="30">
        <v>21</v>
      </c>
      <c r="B141" s="26" t="str">
        <f>'Student Data'!F24</f>
        <v>B</v>
      </c>
      <c r="C141" s="27" t="str">
        <f>'Student Data'!F52</f>
        <v>B</v>
      </c>
      <c r="D141" s="27" t="str">
        <f>'Student Data'!F80</f>
        <v>B</v>
      </c>
      <c r="E141" s="26" t="str">
        <f>'Student Data'!F108</f>
        <v>B</v>
      </c>
    </row>
    <row r="142" spans="1:5" x14ac:dyDescent="0.25">
      <c r="A142" s="30">
        <v>22</v>
      </c>
      <c r="B142" s="26">
        <f>'Student Data'!F25</f>
        <v>0</v>
      </c>
      <c r="C142" s="27">
        <f>'Student Data'!F53</f>
        <v>0</v>
      </c>
      <c r="D142" s="27">
        <f>'Student Data'!F81</f>
        <v>0</v>
      </c>
      <c r="E142" s="26" t="str">
        <f>'Student Data'!F109</f>
        <v>B</v>
      </c>
    </row>
    <row r="143" spans="1:5" x14ac:dyDescent="0.25">
      <c r="A143" s="30">
        <v>23</v>
      </c>
      <c r="B143" s="26">
        <f>'Student Data'!F26</f>
        <v>0</v>
      </c>
      <c r="C143" s="27">
        <f>'Student Data'!F54</f>
        <v>0</v>
      </c>
      <c r="D143" s="27">
        <f>'Student Data'!F82</f>
        <v>0</v>
      </c>
      <c r="E143" s="26">
        <f>'Student Data'!F110</f>
        <v>0</v>
      </c>
    </row>
    <row r="144" spans="1:5" x14ac:dyDescent="0.25">
      <c r="A144" s="30">
        <v>24</v>
      </c>
      <c r="B144" s="26">
        <f>'Student Data'!F27</f>
        <v>0</v>
      </c>
      <c r="C144" s="27">
        <f>'Student Data'!F55</f>
        <v>0</v>
      </c>
      <c r="D144" s="27">
        <f>'Student Data'!F83</f>
        <v>0</v>
      </c>
      <c r="E144" s="26">
        <f>'Student Data'!F111</f>
        <v>0</v>
      </c>
    </row>
    <row r="145" spans="1:5" x14ac:dyDescent="0.25">
      <c r="A145" s="32">
        <v>25</v>
      </c>
      <c r="B145" s="26">
        <f>'Student Data'!F28</f>
        <v>0</v>
      </c>
      <c r="C145" s="27">
        <f>'Student Data'!F56</f>
        <v>0</v>
      </c>
      <c r="D145" s="27">
        <f>'Student Data'!F84</f>
        <v>0</v>
      </c>
      <c r="E145" s="26">
        <f>'Student Data'!F112</f>
        <v>0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T110"/>
  <sheetViews>
    <sheetView showGridLines="0" workbookViewId="0">
      <selection activeCell="C11" sqref="C11"/>
    </sheetView>
  </sheetViews>
  <sheetFormatPr defaultRowHeight="15" x14ac:dyDescent="0.25"/>
  <cols>
    <col min="1" max="1" width="9.140625" style="42"/>
    <col min="2" max="2" width="17.7109375" style="42" customWidth="1"/>
    <col min="3" max="3" width="30.7109375" style="42" customWidth="1"/>
    <col min="4" max="16" width="8.7109375" style="42" customWidth="1"/>
    <col min="17" max="20" width="9.140625" style="42"/>
    <col min="21" max="21" width="9.140625" style="42" customWidth="1"/>
    <col min="22" max="22" width="9.140625" style="42" hidden="1" customWidth="1"/>
    <col min="23" max="46" width="9.140625" style="42" customWidth="1"/>
    <col min="47" max="16384" width="9.140625" style="42"/>
  </cols>
  <sheetData>
    <row r="2" spans="1:22" ht="30" x14ac:dyDescent="0.4">
      <c r="B2" s="43" t="s">
        <v>376</v>
      </c>
    </row>
    <row r="4" spans="1:22" ht="31.5" x14ac:dyDescent="0.5">
      <c r="A4" s="44" t="s">
        <v>38</v>
      </c>
    </row>
    <row r="5" spans="1:22" ht="20.100000000000001" customHeight="1" x14ac:dyDescent="0.25">
      <c r="A5" s="70" t="str">
        <f>Cover!G14</f>
        <v>Term 1</v>
      </c>
      <c r="B5" s="71" t="s">
        <v>262</v>
      </c>
      <c r="C5" s="72" t="str">
        <f>Cover!L14</f>
        <v>2017 / 2018</v>
      </c>
      <c r="D5" s="57"/>
      <c r="R5" s="70" t="s">
        <v>39</v>
      </c>
      <c r="S5" s="73">
        <f>Cover!C14</f>
        <v>10.1</v>
      </c>
      <c r="T5" s="73"/>
    </row>
    <row r="7" spans="1:22" x14ac:dyDescent="0.25">
      <c r="A7" s="110" t="s">
        <v>27</v>
      </c>
      <c r="B7" s="110" t="s">
        <v>28</v>
      </c>
      <c r="C7" s="110" t="s">
        <v>29</v>
      </c>
      <c r="D7" s="112" t="s">
        <v>30</v>
      </c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0" t="s">
        <v>238</v>
      </c>
      <c r="R7" s="110" t="s">
        <v>239</v>
      </c>
      <c r="S7" s="110" t="s">
        <v>240</v>
      </c>
      <c r="T7" s="83"/>
    </row>
    <row r="8" spans="1:22" x14ac:dyDescent="0.25">
      <c r="A8" s="110"/>
      <c r="B8" s="110"/>
      <c r="C8" s="110"/>
      <c r="D8" s="74" t="s">
        <v>32</v>
      </c>
      <c r="E8" s="74" t="s">
        <v>33</v>
      </c>
      <c r="F8" s="74" t="s">
        <v>31</v>
      </c>
      <c r="G8" s="74" t="s">
        <v>378</v>
      </c>
      <c r="H8" s="74" t="s">
        <v>379</v>
      </c>
      <c r="I8" s="74" t="s">
        <v>17</v>
      </c>
      <c r="J8" s="74" t="s">
        <v>241</v>
      </c>
      <c r="K8" s="74" t="s">
        <v>36</v>
      </c>
      <c r="L8" s="74" t="s">
        <v>242</v>
      </c>
      <c r="M8" s="74" t="s">
        <v>37</v>
      </c>
      <c r="N8" s="82" t="s">
        <v>34</v>
      </c>
      <c r="O8" s="74" t="s">
        <v>35</v>
      </c>
      <c r="P8" s="74" t="s">
        <v>40</v>
      </c>
      <c r="Q8" s="110"/>
      <c r="R8" s="110"/>
      <c r="S8" s="110"/>
      <c r="T8" s="83"/>
    </row>
    <row r="9" spans="1:22" x14ac:dyDescent="0.25">
      <c r="A9" s="75">
        <f>IF(C9=" "," ",1)</f>
        <v>1</v>
      </c>
      <c r="B9" s="76" t="str">
        <f>IF(C9=" "," ",HLOOKUP($S$5,id,2,1))</f>
        <v>590/0018211428</v>
      </c>
      <c r="C9" s="77" t="str">
        <f>IF(HLOOKUP($S$5,name,3,TRUE)=0," ",HLOOKUP($S$5,name,3,TRUE))</f>
        <v>ANDREW HARDJONO</v>
      </c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78">
        <f t="shared" ref="Q9:Q32" si="0">IF(A9=" "," ",SUM(D9:P9))</f>
        <v>0</v>
      </c>
      <c r="R9" s="78" t="e">
        <f t="shared" ref="R9:R32" si="1">IF(A9=" "," ",ROUND(AVERAGE(D9:P9),2))</f>
        <v>#DIV/0!</v>
      </c>
      <c r="S9" s="78">
        <f t="shared" ref="S9:S32" si="2">IF(A9=" "," ",RANK(Q9,$Q$9:$Q$32))</f>
        <v>1</v>
      </c>
      <c r="T9" s="84"/>
      <c r="V9" s="85">
        <f>IF(C9=" "," ",HLOOKUP($S$5,mand,2,1))</f>
        <v>0</v>
      </c>
    </row>
    <row r="10" spans="1:22" x14ac:dyDescent="0.25">
      <c r="A10" s="75">
        <f>IF(C10=" "," ",2)</f>
        <v>2</v>
      </c>
      <c r="B10" s="76" t="str">
        <f>IF(C10=" "," ",HLOOKUP($S$5,id,3,1))</f>
        <v>594/0024014816</v>
      </c>
      <c r="C10" s="77" t="str">
        <f>IF(HLOOKUP($S$5,name,4,TRUE)=0," ",HLOOKUP($S$5,name,4,TRUE))</f>
        <v>BENEDICT WIJAYA</v>
      </c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78">
        <f t="shared" si="0"/>
        <v>0</v>
      </c>
      <c r="R10" s="78" t="e">
        <f t="shared" si="1"/>
        <v>#DIV/0!</v>
      </c>
      <c r="S10" s="78">
        <f t="shared" si="2"/>
        <v>1</v>
      </c>
      <c r="T10" s="84"/>
      <c r="V10" s="85">
        <f>IF(C10=" "," ",HLOOKUP($S$5,mand,3,1))</f>
        <v>0</v>
      </c>
    </row>
    <row r="11" spans="1:22" x14ac:dyDescent="0.25">
      <c r="A11" s="75">
        <f>IF(C11=" "," ",3)</f>
        <v>3</v>
      </c>
      <c r="B11" s="76" t="str">
        <f>IF(C11=" "," ",HLOOKUP($S$5,id,4,1))</f>
        <v>608/0023094497</v>
      </c>
      <c r="C11" s="77" t="str">
        <f>IF(HLOOKUP($S$5,name,5,TRUE)=0," ",HLOOKUP($S$5,name,5,TRUE))</f>
        <v>FLORENTINA SUGIANTO</v>
      </c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78">
        <f t="shared" si="0"/>
        <v>0</v>
      </c>
      <c r="R11" s="78" t="e">
        <f t="shared" si="1"/>
        <v>#DIV/0!</v>
      </c>
      <c r="S11" s="78">
        <f t="shared" si="2"/>
        <v>1</v>
      </c>
      <c r="T11" s="84"/>
      <c r="V11" s="85">
        <f>IF(C11=" "," ",HLOOKUP($S$5,mand,4,1))</f>
        <v>0</v>
      </c>
    </row>
    <row r="12" spans="1:22" x14ac:dyDescent="0.25">
      <c r="A12" s="75">
        <f>IF(C12=" "," ",4)</f>
        <v>4</v>
      </c>
      <c r="B12" s="76" t="str">
        <f>IF(C12=" "," ",HLOOKUP($S$5,id,5,1))</f>
        <v>611/0026911212</v>
      </c>
      <c r="C12" s="77" t="str">
        <f>IF(HLOOKUP($S$5,name,6,TRUE)=0," ",HLOOKUP($S$5,name,6,TRUE))</f>
        <v>GRACE SANTOSA</v>
      </c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78">
        <f t="shared" si="0"/>
        <v>0</v>
      </c>
      <c r="R12" s="78" t="e">
        <f t="shared" si="1"/>
        <v>#DIV/0!</v>
      </c>
      <c r="S12" s="78">
        <f t="shared" si="2"/>
        <v>1</v>
      </c>
      <c r="T12" s="84"/>
      <c r="V12" s="85" t="str">
        <f>IF(C12=" "," ",HLOOKUP($S$5,mand,5,1))</f>
        <v>B</v>
      </c>
    </row>
    <row r="13" spans="1:22" x14ac:dyDescent="0.25">
      <c r="A13" s="75">
        <f>IF(C13=" "," ",5)</f>
        <v>5</v>
      </c>
      <c r="B13" s="76" t="str">
        <f>IF(C13=" "," ",HLOOKUP($S$5,id,6,1))</f>
        <v>613/0025273792</v>
      </c>
      <c r="C13" s="77" t="str">
        <f>IF(HLOOKUP($S$5,name,7,TRUE)=0," ",HLOOKUP($S$5,name,7,TRUE))</f>
        <v>HANS SAMUEL</v>
      </c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78">
        <f t="shared" si="0"/>
        <v>0</v>
      </c>
      <c r="R13" s="78" t="e">
        <f t="shared" si="1"/>
        <v>#DIV/0!</v>
      </c>
      <c r="S13" s="78">
        <f t="shared" si="2"/>
        <v>1</v>
      </c>
      <c r="T13" s="84"/>
      <c r="V13" s="85" t="str">
        <f>IF(C13=" "," ",HLOOKUP($S$5,mand,6,1))</f>
        <v>B</v>
      </c>
    </row>
    <row r="14" spans="1:22" x14ac:dyDescent="0.25">
      <c r="A14" s="75">
        <f>IF(C14=" "," ",6)</f>
        <v>6</v>
      </c>
      <c r="B14" s="76" t="str">
        <f>IF(C14=" "," ",HLOOKUP($S$5,id,7,1))</f>
        <v>618/0025273776</v>
      </c>
      <c r="C14" s="77" t="str">
        <f>IF(HLOOKUP($S$5,name,8,TRUE)=0," ",HLOOKUP($S$5,name,8,TRUE))</f>
        <v>JEFFA  DARREN MYRON</v>
      </c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78">
        <f t="shared" si="0"/>
        <v>0</v>
      </c>
      <c r="R14" s="78" t="e">
        <f t="shared" si="1"/>
        <v>#DIV/0!</v>
      </c>
      <c r="S14" s="78">
        <f t="shared" si="2"/>
        <v>1</v>
      </c>
      <c r="T14" s="84"/>
      <c r="V14" s="85" t="str">
        <f>IF(C14=" "," ",HLOOKUP($S$5,mand,7,1))</f>
        <v>B</v>
      </c>
    </row>
    <row r="15" spans="1:22" x14ac:dyDescent="0.25">
      <c r="A15" s="75">
        <f>IF(C15=" "," ",7)</f>
        <v>7</v>
      </c>
      <c r="B15" s="76" t="str">
        <f>IF(C15=" "," ",HLOOKUP($S$5,id,8,1))</f>
        <v>619/0016751062</v>
      </c>
      <c r="C15" s="77" t="str">
        <f>IF(HLOOKUP($S$5,name,9,TRUE)=0," ",HLOOKUP($S$5,name,9,TRUE))</f>
        <v>JEREMY JECONIAH</v>
      </c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78">
        <f t="shared" si="0"/>
        <v>0</v>
      </c>
      <c r="R15" s="78" t="e">
        <f t="shared" si="1"/>
        <v>#DIV/0!</v>
      </c>
      <c r="S15" s="78">
        <f t="shared" si="2"/>
        <v>1</v>
      </c>
      <c r="T15" s="84"/>
      <c r="V15" s="85">
        <f>IF(C15=" "," ",HLOOKUP($S$5,mand,8,1))</f>
        <v>0</v>
      </c>
    </row>
    <row r="16" spans="1:22" x14ac:dyDescent="0.25">
      <c r="A16" s="75">
        <f>IF(C16=" "," ",8)</f>
        <v>8</v>
      </c>
      <c r="B16" s="76" t="str">
        <f>IF(C16=" "," ",HLOOKUP($S$5,id,9,1))</f>
        <v>622/0020653207</v>
      </c>
      <c r="C16" s="77" t="str">
        <f>IF(HLOOKUP($S$5,name,10,TRUE)=0," ",HLOOKUP($S$5,name,10,TRUE))</f>
        <v>JOCELYN IVANA</v>
      </c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78">
        <f t="shared" si="0"/>
        <v>0</v>
      </c>
      <c r="R16" s="78" t="e">
        <f t="shared" si="1"/>
        <v>#DIV/0!</v>
      </c>
      <c r="S16" s="78">
        <f t="shared" si="2"/>
        <v>1</v>
      </c>
      <c r="T16" s="84"/>
      <c r="V16" s="85" t="str">
        <f>IF(C16=" "," ",HLOOKUP($S$5,mand,9,1))</f>
        <v>B</v>
      </c>
    </row>
    <row r="17" spans="1:22" x14ac:dyDescent="0.25">
      <c r="A17" s="75">
        <f>IF(C17=" "," ",9)</f>
        <v>9</v>
      </c>
      <c r="B17" s="76" t="str">
        <f>IF(C17=" "," ",HLOOKUP($S$5,id,10,1))</f>
        <v>627/0023094483</v>
      </c>
      <c r="C17" s="77" t="str">
        <f>IF(HLOOKUP($S$5,name,11,TRUE)=0," ",HLOOKUP($S$5,name,11,TRUE))</f>
        <v>JOSHUA IMMANUEL ROCHILLI</v>
      </c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78">
        <f t="shared" si="0"/>
        <v>0</v>
      </c>
      <c r="R17" s="78" t="e">
        <f t="shared" si="1"/>
        <v>#DIV/0!</v>
      </c>
      <c r="S17" s="78">
        <f t="shared" si="2"/>
        <v>1</v>
      </c>
      <c r="T17" s="84"/>
      <c r="V17" s="85" t="str">
        <f>IF(C17=" "," ",HLOOKUP($S$5,mand,10,1))</f>
        <v>B</v>
      </c>
    </row>
    <row r="18" spans="1:22" x14ac:dyDescent="0.25">
      <c r="A18" s="75">
        <f>IF(C18=" "," ",10)</f>
        <v>10</v>
      </c>
      <c r="B18" s="76" t="str">
        <f>IF(C18=" "," ",HLOOKUP($S$5,id,11,1))</f>
        <v>629/0023094214</v>
      </c>
      <c r="C18" s="77" t="str">
        <f>IF(HLOOKUP($S$5,name,12,TRUE)=0," ",HLOOKUP($S$5,name,12,TRUE))</f>
        <v>KEZIA CHRISTABELA LAKSONO</v>
      </c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78">
        <f t="shared" si="0"/>
        <v>0</v>
      </c>
      <c r="R18" s="78" t="e">
        <f t="shared" si="1"/>
        <v>#DIV/0!</v>
      </c>
      <c r="S18" s="78">
        <f t="shared" si="2"/>
        <v>1</v>
      </c>
      <c r="T18" s="84"/>
      <c r="V18" s="85">
        <f>IF(C18=" "," ",HLOOKUP($S$5,mand,11,1))</f>
        <v>0</v>
      </c>
    </row>
    <row r="19" spans="1:22" x14ac:dyDescent="0.25">
      <c r="A19" s="75">
        <f>IF(C19=" "," ",11)</f>
        <v>11</v>
      </c>
      <c r="B19" s="76" t="str">
        <f>IF(C19=" "," ",HLOOKUP($S$5,id,12,1))</f>
        <v>635/0023094459</v>
      </c>
      <c r="C19" s="77" t="str">
        <f>IF(HLOOKUP($S$5,name,13,TRUE)=0," ",HLOOKUP($S$5,name,13,TRUE))</f>
        <v>MATTHEW CLERENCE LIEGO</v>
      </c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78">
        <f t="shared" si="0"/>
        <v>0</v>
      </c>
      <c r="R19" s="78" t="e">
        <f t="shared" si="1"/>
        <v>#DIV/0!</v>
      </c>
      <c r="S19" s="78">
        <f t="shared" si="2"/>
        <v>1</v>
      </c>
      <c r="T19" s="84"/>
      <c r="V19" s="85" t="str">
        <f>IF(C19=" "," ",HLOOKUP($S$5,mand,12,1))</f>
        <v>B</v>
      </c>
    </row>
    <row r="20" spans="1:22" x14ac:dyDescent="0.25">
      <c r="A20" s="75">
        <f>IF(C20=" "," ",12)</f>
        <v>12</v>
      </c>
      <c r="B20" s="76" t="str">
        <f>IF(C20=" "," ",HLOOKUP($S$5,id,13,1))</f>
        <v>641/0023094455</v>
      </c>
      <c r="C20" s="77" t="str">
        <f>IF(HLOOKUP($S$5,name,14,TRUE)=0," ",HLOOKUP($S$5,name,14,TRUE))</f>
        <v>MICHAEL ANTONIO BOENTORO</v>
      </c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78">
        <f t="shared" si="0"/>
        <v>0</v>
      </c>
      <c r="R20" s="78" t="e">
        <f t="shared" si="1"/>
        <v>#DIV/0!</v>
      </c>
      <c r="S20" s="78">
        <f t="shared" si="2"/>
        <v>1</v>
      </c>
      <c r="T20" s="84"/>
      <c r="V20" s="85">
        <f>IF(C20=" "," ",HLOOKUP($S$5,mand,13,1))</f>
        <v>0</v>
      </c>
    </row>
    <row r="21" spans="1:22" x14ac:dyDescent="0.25">
      <c r="A21" s="75">
        <f>IF(C21=" "," ",13)</f>
        <v>13</v>
      </c>
      <c r="B21" s="76" t="str">
        <f>IF(C21=" "," ",HLOOKUP($S$5,id,14,1))</f>
        <v>644/0025273819</v>
      </c>
      <c r="C21" s="77" t="str">
        <f>IF(HLOOKUP($S$5,name,15,TRUE)=0," ",HLOOKUP($S$5,name,15,TRUE))</f>
        <v>NADIA</v>
      </c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78">
        <f t="shared" si="0"/>
        <v>0</v>
      </c>
      <c r="R21" s="78" t="e">
        <f t="shared" si="1"/>
        <v>#DIV/0!</v>
      </c>
      <c r="S21" s="78">
        <f t="shared" si="2"/>
        <v>1</v>
      </c>
      <c r="T21" s="84"/>
      <c r="V21" s="85">
        <f>IF(C21=" "," ",HLOOKUP($S$5,mand,14,1))</f>
        <v>0</v>
      </c>
    </row>
    <row r="22" spans="1:22" x14ac:dyDescent="0.25">
      <c r="A22" s="75">
        <f>IF(C22=" "," ",14)</f>
        <v>14</v>
      </c>
      <c r="B22" s="76" t="str">
        <f>IF(C22=" "," ",HLOOKUP($S$5,id,15,1))</f>
        <v>646/0023094503</v>
      </c>
      <c r="C22" s="77" t="str">
        <f>IF(HLOOKUP($S$5,name,16,TRUE)=0," ",HLOOKUP($S$5,name,16,TRUE))</f>
        <v>NATHANIA BERNICE</v>
      </c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78">
        <f t="shared" si="0"/>
        <v>0</v>
      </c>
      <c r="R22" s="78" t="e">
        <f t="shared" si="1"/>
        <v>#DIV/0!</v>
      </c>
      <c r="S22" s="78">
        <f t="shared" si="2"/>
        <v>1</v>
      </c>
      <c r="T22" s="84"/>
      <c r="V22" s="85">
        <f>IF(C22=" "," ",HLOOKUP($S$5,mand,15,1))</f>
        <v>0</v>
      </c>
    </row>
    <row r="23" spans="1:22" x14ac:dyDescent="0.25">
      <c r="A23" s="75">
        <f>IF(C23=" "," ",15)</f>
        <v>15</v>
      </c>
      <c r="B23" s="76" t="str">
        <f>IF(C23=" "," ",HLOOKUP($S$5,id,16,1))</f>
        <v>650/0016158284</v>
      </c>
      <c r="C23" s="77" t="str">
        <f>IF(HLOOKUP($S$5,name,17,TRUE)=0," ",HLOOKUP($S$5,name,17,TRUE))</f>
        <v>SALYVANA KRISANTO</v>
      </c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78">
        <f t="shared" si="0"/>
        <v>0</v>
      </c>
      <c r="R23" s="78" t="e">
        <f t="shared" si="1"/>
        <v>#DIV/0!</v>
      </c>
      <c r="S23" s="78">
        <f t="shared" si="2"/>
        <v>1</v>
      </c>
      <c r="T23" s="84"/>
      <c r="V23" s="85" t="str">
        <f>IF(C23=" "," ",HLOOKUP($S$5,mand,16,1))</f>
        <v>B</v>
      </c>
    </row>
    <row r="24" spans="1:22" x14ac:dyDescent="0.25">
      <c r="A24" s="75">
        <f>IF(C24=" "," ",16)</f>
        <v>16</v>
      </c>
      <c r="B24" s="76" t="str">
        <f>IF(C24=" "," ",HLOOKUP($S$5,id,17,1))</f>
        <v>651/0016055018</v>
      </c>
      <c r="C24" s="77" t="str">
        <f>IF(HLOOKUP($S$5,name,18,TRUE)=0," ",HLOOKUP($S$5,name,18,TRUE))</f>
        <v>SAMUEL AGUSTO</v>
      </c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78">
        <f t="shared" si="0"/>
        <v>0</v>
      </c>
      <c r="R24" s="78" t="e">
        <f t="shared" si="1"/>
        <v>#DIV/0!</v>
      </c>
      <c r="S24" s="78">
        <f t="shared" si="2"/>
        <v>1</v>
      </c>
      <c r="T24" s="84"/>
      <c r="V24" s="85" t="str">
        <f>IF(C24=" "," ",HLOOKUP($S$5,mand,17,1))</f>
        <v>B</v>
      </c>
    </row>
    <row r="25" spans="1:22" x14ac:dyDescent="0.25">
      <c r="A25" s="75">
        <f>IF(C25=" "," ",17)</f>
        <v>17</v>
      </c>
      <c r="B25" s="76" t="str">
        <f>IF(C25=" "," ",HLOOKUP($S$5,id,18,1))</f>
        <v>654/0023094448</v>
      </c>
      <c r="C25" s="77" t="str">
        <f>IF(HLOOKUP($S$5,name,19,TRUE)=0," ",HLOOKUP($S$5,name,19,TRUE))</f>
        <v>SHANIKA IVERNA TAMARA</v>
      </c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78">
        <f t="shared" si="0"/>
        <v>0</v>
      </c>
      <c r="R25" s="78" t="e">
        <f t="shared" si="1"/>
        <v>#DIV/0!</v>
      </c>
      <c r="S25" s="78">
        <f t="shared" si="2"/>
        <v>1</v>
      </c>
      <c r="T25" s="84"/>
      <c r="V25" s="85">
        <f>IF(C25=" "," ",HLOOKUP($S$5,mand,18,1))</f>
        <v>0</v>
      </c>
    </row>
    <row r="26" spans="1:22" x14ac:dyDescent="0.25">
      <c r="A26" s="75">
        <f>IF(C26=" "," ",18)</f>
        <v>18</v>
      </c>
      <c r="B26" s="76" t="str">
        <f>IF(C26=" "," ",HLOOKUP($S$5,id,19,1))</f>
        <v>657/0020750427</v>
      </c>
      <c r="C26" s="77" t="str">
        <f>IF(HLOOKUP($S$5,name,20,TRUE)=0," ",HLOOKUP($S$5,name,20,TRUE))</f>
        <v>TASHA LAURETTA</v>
      </c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78">
        <f t="shared" si="0"/>
        <v>0</v>
      </c>
      <c r="R26" s="78" t="e">
        <f t="shared" si="1"/>
        <v>#DIV/0!</v>
      </c>
      <c r="S26" s="78">
        <f t="shared" si="2"/>
        <v>1</v>
      </c>
      <c r="T26" s="84"/>
      <c r="V26" s="85">
        <f>IF(C26=" "," ",HLOOKUP($S$5,mand,19,1))</f>
        <v>0</v>
      </c>
    </row>
    <row r="27" spans="1:22" x14ac:dyDescent="0.25">
      <c r="A27" s="75">
        <f>IF(C27=" "," ",19)</f>
        <v>19</v>
      </c>
      <c r="B27" s="76" t="str">
        <f>IF(C27=" "," ",HLOOKUP($S$5,id,10,1))</f>
        <v>627/0023094483</v>
      </c>
      <c r="C27" s="77" t="str">
        <f>IF(HLOOKUP($S$5,name,21,TRUE)=0," ",HLOOKUP($S$5,name,21,TRUE))</f>
        <v>TIMOTHY FARREL TJONDROJO</v>
      </c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78">
        <f t="shared" si="0"/>
        <v>0</v>
      </c>
      <c r="R27" s="78" t="e">
        <f t="shared" si="1"/>
        <v>#DIV/0!</v>
      </c>
      <c r="S27" s="78">
        <f t="shared" si="2"/>
        <v>1</v>
      </c>
      <c r="T27" s="84"/>
      <c r="V27" s="85" t="str">
        <f>IF(C27=" "," ",HLOOKUP($S$5,mand,20,1))</f>
        <v>B</v>
      </c>
    </row>
    <row r="28" spans="1:22" x14ac:dyDescent="0.25">
      <c r="A28" s="75">
        <f>IF(C28=" "," ",20)</f>
        <v>20</v>
      </c>
      <c r="B28" s="76" t="str">
        <f>IF(C28=" "," ",HLOOKUP($S$5,id,21,1))</f>
        <v>663/0024195587</v>
      </c>
      <c r="C28" s="77" t="str">
        <f>IF(HLOOKUP($S$5,name,22,TRUE)=0," ",HLOOKUP($S$5,name,22,TRUE))</f>
        <v>YASMIN ANGGRAINI TEGUH</v>
      </c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78">
        <f t="shared" si="0"/>
        <v>0</v>
      </c>
      <c r="R28" s="78" t="e">
        <f t="shared" si="1"/>
        <v>#DIV/0!</v>
      </c>
      <c r="S28" s="78">
        <f t="shared" si="2"/>
        <v>1</v>
      </c>
      <c r="T28" s="84"/>
      <c r="V28" s="85" t="str">
        <f>IF(C28=" "," ",HLOOKUP($S$5,mand,21,1))</f>
        <v>B</v>
      </c>
    </row>
    <row r="29" spans="1:22" x14ac:dyDescent="0.25">
      <c r="A29" s="75" t="str">
        <f>IF(C29=" "," ",21)</f>
        <v xml:space="preserve"> </v>
      </c>
      <c r="B29" s="76" t="str">
        <f>IF(C29=" "," ",HLOOKUP($S$5,id,22,1))</f>
        <v xml:space="preserve"> </v>
      </c>
      <c r="C29" s="77" t="str">
        <f>IF(HLOOKUP($S$5,name,23,TRUE)=0," ",HLOOKUP($S$5,name,23,TRUE))</f>
        <v xml:space="preserve"> </v>
      </c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78" t="str">
        <f t="shared" si="0"/>
        <v xml:space="preserve"> </v>
      </c>
      <c r="R29" s="78" t="str">
        <f t="shared" si="1"/>
        <v xml:space="preserve"> </v>
      </c>
      <c r="S29" s="78" t="str">
        <f t="shared" si="2"/>
        <v xml:space="preserve"> </v>
      </c>
      <c r="T29" s="84"/>
      <c r="V29" s="85" t="str">
        <f>IF(C29=" "," ",HLOOKUP($S$5,mand,22,1))</f>
        <v xml:space="preserve"> </v>
      </c>
    </row>
    <row r="30" spans="1:22" x14ac:dyDescent="0.25">
      <c r="A30" s="75" t="str">
        <f>IF(C30=" "," ",22)</f>
        <v xml:space="preserve"> </v>
      </c>
      <c r="B30" s="76" t="str">
        <f>IF(C30=" "," ",HLOOKUP($S$5,id,23,1))</f>
        <v xml:space="preserve"> </v>
      </c>
      <c r="C30" s="77" t="str">
        <f>IF(HLOOKUP($S$5,name,24,TRUE)=0," ",HLOOKUP($S$5,name,24,TRUE))</f>
        <v xml:space="preserve"> </v>
      </c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78" t="str">
        <f t="shared" si="0"/>
        <v xml:space="preserve"> </v>
      </c>
      <c r="R30" s="78" t="str">
        <f t="shared" si="1"/>
        <v xml:space="preserve"> </v>
      </c>
      <c r="S30" s="78" t="str">
        <f t="shared" si="2"/>
        <v xml:space="preserve"> </v>
      </c>
      <c r="T30" s="84"/>
      <c r="V30" s="85" t="str">
        <f>IF(C30=" "," ",HLOOKUP($S$5,mand,23,1))</f>
        <v xml:space="preserve"> </v>
      </c>
    </row>
    <row r="31" spans="1:22" x14ac:dyDescent="0.25">
      <c r="A31" s="75" t="str">
        <f>IF(C31=" "," ",23)</f>
        <v xml:space="preserve"> </v>
      </c>
      <c r="B31" s="76" t="str">
        <f>IF(C31=" "," ",HLOOKUP($S$5,id,24,1))</f>
        <v xml:space="preserve"> </v>
      </c>
      <c r="C31" s="77" t="str">
        <f>IF(HLOOKUP($S$5,name,25,TRUE)=0," ",HLOOKUP($S$5,name,25,TRUE))</f>
        <v xml:space="preserve"> </v>
      </c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78" t="str">
        <f t="shared" si="0"/>
        <v xml:space="preserve"> </v>
      </c>
      <c r="R31" s="78" t="str">
        <f t="shared" si="1"/>
        <v xml:space="preserve"> </v>
      </c>
      <c r="S31" s="78" t="str">
        <f t="shared" si="2"/>
        <v xml:space="preserve"> </v>
      </c>
      <c r="T31" s="84"/>
      <c r="V31" s="85" t="str">
        <f>IF(C31=" "," ",HLOOKUP($S$5,mand,24,1))</f>
        <v xml:space="preserve"> </v>
      </c>
    </row>
    <row r="32" spans="1:22" x14ac:dyDescent="0.25">
      <c r="A32" s="75" t="str">
        <f>IF(C32=" "," ",24)</f>
        <v xml:space="preserve"> </v>
      </c>
      <c r="B32" s="76" t="str">
        <f>IF(C32=" "," ",HLOOKUP($S$5,id,25,1))</f>
        <v xml:space="preserve"> </v>
      </c>
      <c r="C32" s="77" t="str">
        <f>IF(HLOOKUP($S$5,name,26,TRUE)=0," ",HLOOKUP($S$5,name,26,TRUE))</f>
        <v xml:space="preserve"> </v>
      </c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78" t="str">
        <f t="shared" si="0"/>
        <v xml:space="preserve"> </v>
      </c>
      <c r="R32" s="78" t="str">
        <f t="shared" si="1"/>
        <v xml:space="preserve"> </v>
      </c>
      <c r="S32" s="78" t="str">
        <f t="shared" si="2"/>
        <v xml:space="preserve"> </v>
      </c>
      <c r="T32" s="84"/>
      <c r="V32" s="85" t="str">
        <f>IF(C32=" "," ",HLOOKUP($S$5,mand,25,1))</f>
        <v xml:space="preserve"> </v>
      </c>
    </row>
    <row r="33" spans="2:46" x14ac:dyDescent="0.25"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</row>
    <row r="34" spans="2:46" x14ac:dyDescent="0.25">
      <c r="C34" s="86" t="s">
        <v>237</v>
      </c>
      <c r="D34" s="78">
        <f>IF(SUM(D9:D32)=0,0,AVERAGE(D9:D32))</f>
        <v>0</v>
      </c>
      <c r="E34" s="78">
        <f t="shared" ref="E34:P34" si="3">IF(SUM(E9:E32)=0,0,AVERAGE(E9:E32))</f>
        <v>0</v>
      </c>
      <c r="F34" s="78">
        <f t="shared" si="3"/>
        <v>0</v>
      </c>
      <c r="G34" s="78">
        <f t="shared" si="3"/>
        <v>0</v>
      </c>
      <c r="H34" s="78">
        <f t="shared" si="3"/>
        <v>0</v>
      </c>
      <c r="I34" s="78">
        <f t="shared" si="3"/>
        <v>0</v>
      </c>
      <c r="J34" s="78">
        <f t="shared" si="3"/>
        <v>0</v>
      </c>
      <c r="K34" s="78">
        <f t="shared" si="3"/>
        <v>0</v>
      </c>
      <c r="L34" s="78">
        <f t="shared" si="3"/>
        <v>0</v>
      </c>
      <c r="M34" s="78">
        <f t="shared" si="3"/>
        <v>0</v>
      </c>
      <c r="N34" s="78">
        <f t="shared" ref="N34" si="4">IF(SUM(N9:N32)=0,0,AVERAGE(N9:N32))</f>
        <v>0</v>
      </c>
      <c r="O34" s="78">
        <f t="shared" si="3"/>
        <v>0</v>
      </c>
      <c r="P34" s="78">
        <f t="shared" si="3"/>
        <v>0</v>
      </c>
    </row>
    <row r="35" spans="2:46" x14ac:dyDescent="0.25">
      <c r="C35" s="86" t="s">
        <v>243</v>
      </c>
      <c r="D35" s="78">
        <f>MAX(D9:D32)</f>
        <v>0</v>
      </c>
      <c r="E35" s="78">
        <f t="shared" ref="E35:P35" si="5">MAX(E9:E32)</f>
        <v>0</v>
      </c>
      <c r="F35" s="78">
        <f t="shared" si="5"/>
        <v>0</v>
      </c>
      <c r="G35" s="78">
        <f t="shared" si="5"/>
        <v>0</v>
      </c>
      <c r="H35" s="78">
        <f t="shared" si="5"/>
        <v>0</v>
      </c>
      <c r="I35" s="78">
        <f t="shared" si="5"/>
        <v>0</v>
      </c>
      <c r="J35" s="78">
        <f t="shared" si="5"/>
        <v>0</v>
      </c>
      <c r="K35" s="78">
        <f t="shared" si="5"/>
        <v>0</v>
      </c>
      <c r="L35" s="78">
        <f t="shared" si="5"/>
        <v>0</v>
      </c>
      <c r="M35" s="78">
        <f t="shared" si="5"/>
        <v>0</v>
      </c>
      <c r="N35" s="78">
        <f t="shared" ref="N35" si="6">MAX(N9:N32)</f>
        <v>0</v>
      </c>
      <c r="O35" s="78">
        <f t="shared" si="5"/>
        <v>0</v>
      </c>
      <c r="P35" s="78">
        <f t="shared" si="5"/>
        <v>0</v>
      </c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</row>
    <row r="36" spans="2:46" x14ac:dyDescent="0.25">
      <c r="C36" s="86" t="s">
        <v>244</v>
      </c>
      <c r="D36" s="78">
        <f>MIN(D9:D32)</f>
        <v>0</v>
      </c>
      <c r="E36" s="78">
        <f t="shared" ref="E36:P36" si="7">MIN(E9:E32)</f>
        <v>0</v>
      </c>
      <c r="F36" s="78">
        <f t="shared" si="7"/>
        <v>0</v>
      </c>
      <c r="G36" s="78">
        <f t="shared" si="7"/>
        <v>0</v>
      </c>
      <c r="H36" s="78">
        <f t="shared" si="7"/>
        <v>0</v>
      </c>
      <c r="I36" s="78">
        <f t="shared" si="7"/>
        <v>0</v>
      </c>
      <c r="J36" s="78">
        <f t="shared" si="7"/>
        <v>0</v>
      </c>
      <c r="K36" s="78">
        <f t="shared" si="7"/>
        <v>0</v>
      </c>
      <c r="L36" s="78">
        <f t="shared" si="7"/>
        <v>0</v>
      </c>
      <c r="M36" s="78">
        <f t="shared" si="7"/>
        <v>0</v>
      </c>
      <c r="N36" s="78">
        <f t="shared" ref="N36" si="8">MIN(N9:N32)</f>
        <v>0</v>
      </c>
      <c r="O36" s="78">
        <f t="shared" si="7"/>
        <v>0</v>
      </c>
      <c r="P36" s="78">
        <f t="shared" si="7"/>
        <v>0</v>
      </c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</row>
    <row r="37" spans="2:46" x14ac:dyDescent="0.25"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</row>
    <row r="38" spans="2:46" x14ac:dyDescent="0.25"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</row>
    <row r="39" spans="2:46" x14ac:dyDescent="0.25"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42" t="s">
        <v>22</v>
      </c>
      <c r="R39" s="66">
        <f>Cover!L16</f>
        <v>0</v>
      </c>
      <c r="S39" s="87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</row>
    <row r="40" spans="2:46" x14ac:dyDescent="0.25">
      <c r="B40" s="42" t="s">
        <v>25</v>
      </c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42" t="s">
        <v>245</v>
      </c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</row>
    <row r="41" spans="2:46" x14ac:dyDescent="0.25"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</row>
    <row r="42" spans="2:46" x14ac:dyDescent="0.25"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</row>
    <row r="43" spans="2:46" x14ac:dyDescent="0.25"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</row>
    <row r="44" spans="2:46" x14ac:dyDescent="0.25">
      <c r="B44" s="48" t="s">
        <v>377</v>
      </c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111" t="str">
        <f>IF(HLOOKUP($S$5,name,2,TRUE)=0," ",HLOOKUP($S$5,name,2,TRUE))</f>
        <v>Radot Jefri S.O.H., S.T.</v>
      </c>
      <c r="R44" s="111"/>
      <c r="S44" s="111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</row>
    <row r="45" spans="2:46" x14ac:dyDescent="0.25"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</row>
    <row r="46" spans="2:46" x14ac:dyDescent="0.25"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</row>
    <row r="47" spans="2:46" x14ac:dyDescent="0.25"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</row>
    <row r="48" spans="2:46" x14ac:dyDescent="0.25"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</row>
    <row r="49" spans="4:33" x14ac:dyDescent="0.25"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</row>
    <row r="50" spans="4:33" x14ac:dyDescent="0.25"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</row>
    <row r="51" spans="4:33" x14ac:dyDescent="0.25"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</row>
    <row r="52" spans="4:33" x14ac:dyDescent="0.25"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</row>
    <row r="53" spans="4:33" x14ac:dyDescent="0.25"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</row>
    <row r="54" spans="4:33" x14ac:dyDescent="0.25"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</row>
    <row r="55" spans="4:33" x14ac:dyDescent="0.25"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</row>
    <row r="56" spans="4:33" x14ac:dyDescent="0.25"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</row>
    <row r="57" spans="4:33" x14ac:dyDescent="0.25"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</row>
    <row r="58" spans="4:33" x14ac:dyDescent="0.25"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</row>
    <row r="59" spans="4:33" x14ac:dyDescent="0.25"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</row>
    <row r="60" spans="4:33" x14ac:dyDescent="0.25"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</row>
    <row r="61" spans="4:33" x14ac:dyDescent="0.25"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</row>
    <row r="62" spans="4:33" x14ac:dyDescent="0.25"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</row>
    <row r="63" spans="4:33" x14ac:dyDescent="0.25"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</row>
    <row r="64" spans="4:33" x14ac:dyDescent="0.25"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</row>
    <row r="65" spans="4:16" x14ac:dyDescent="0.25"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</row>
    <row r="66" spans="4:16" x14ac:dyDescent="0.25"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</row>
    <row r="67" spans="4:16" x14ac:dyDescent="0.25"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</row>
    <row r="68" spans="4:16" x14ac:dyDescent="0.25"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</row>
    <row r="69" spans="4:16" x14ac:dyDescent="0.25"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</row>
    <row r="70" spans="4:16" x14ac:dyDescent="0.25"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</row>
    <row r="71" spans="4:16" x14ac:dyDescent="0.25"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</row>
    <row r="72" spans="4:16" x14ac:dyDescent="0.25"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</row>
    <row r="73" spans="4:16" x14ac:dyDescent="0.25"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</row>
    <row r="74" spans="4:16" x14ac:dyDescent="0.25"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</row>
    <row r="75" spans="4:16" x14ac:dyDescent="0.25"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</row>
    <row r="76" spans="4:16" x14ac:dyDescent="0.25"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</row>
    <row r="77" spans="4:16" x14ac:dyDescent="0.25"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</row>
    <row r="78" spans="4:16" x14ac:dyDescent="0.25"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</row>
    <row r="79" spans="4:16" x14ac:dyDescent="0.25"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</row>
    <row r="80" spans="4:16" x14ac:dyDescent="0.25"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</row>
    <row r="81" spans="4:16" x14ac:dyDescent="0.25"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</row>
    <row r="82" spans="4:16" x14ac:dyDescent="0.25"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</row>
    <row r="83" spans="4:16" x14ac:dyDescent="0.25"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</row>
    <row r="84" spans="4:16" x14ac:dyDescent="0.25"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</row>
    <row r="85" spans="4:16" x14ac:dyDescent="0.25"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</row>
    <row r="86" spans="4:16" x14ac:dyDescent="0.25"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</row>
    <row r="87" spans="4:16" x14ac:dyDescent="0.25">
      <c r="D87" s="59"/>
      <c r="E87" s="59"/>
      <c r="F87" s="59"/>
      <c r="G87" s="59"/>
      <c r="H87" s="59"/>
      <c r="I87" s="59"/>
      <c r="J87" s="59"/>
      <c r="K87" s="59"/>
      <c r="L87" s="59"/>
      <c r="M87" s="59"/>
      <c r="N87" s="59"/>
      <c r="O87" s="59"/>
      <c r="P87" s="59"/>
    </row>
    <row r="88" spans="4:16" x14ac:dyDescent="0.25">
      <c r="D88" s="59"/>
      <c r="E88" s="59"/>
      <c r="F88" s="59"/>
      <c r="G88" s="59"/>
      <c r="H88" s="59"/>
      <c r="I88" s="59"/>
      <c r="J88" s="59"/>
      <c r="K88" s="59"/>
      <c r="L88" s="59"/>
      <c r="M88" s="59"/>
      <c r="N88" s="59"/>
      <c r="O88" s="59"/>
      <c r="P88" s="59"/>
    </row>
    <row r="89" spans="4:16" x14ac:dyDescent="0.25">
      <c r="D89" s="59"/>
      <c r="E89" s="59"/>
      <c r="F89" s="59"/>
      <c r="G89" s="59"/>
      <c r="H89" s="59"/>
      <c r="I89" s="59"/>
      <c r="J89" s="59"/>
      <c r="K89" s="59"/>
      <c r="L89" s="59"/>
      <c r="M89" s="59"/>
      <c r="N89" s="59"/>
      <c r="O89" s="59"/>
      <c r="P89" s="59"/>
    </row>
    <row r="90" spans="4:16" x14ac:dyDescent="0.25"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59"/>
    </row>
    <row r="91" spans="4:16" x14ac:dyDescent="0.25"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59"/>
    </row>
    <row r="92" spans="4:16" x14ac:dyDescent="0.25">
      <c r="D92" s="59"/>
      <c r="E92" s="59"/>
      <c r="F92" s="59"/>
      <c r="G92" s="59"/>
      <c r="H92" s="59"/>
      <c r="I92" s="59"/>
      <c r="J92" s="59"/>
      <c r="K92" s="59"/>
      <c r="L92" s="59"/>
      <c r="M92" s="59"/>
      <c r="N92" s="59"/>
      <c r="O92" s="59"/>
      <c r="P92" s="59"/>
    </row>
    <row r="93" spans="4:16" x14ac:dyDescent="0.25"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</row>
    <row r="94" spans="4:16" x14ac:dyDescent="0.25"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</row>
    <row r="95" spans="4:16" x14ac:dyDescent="0.25"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</row>
    <row r="96" spans="4:16" x14ac:dyDescent="0.25"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</row>
    <row r="97" spans="4:16" x14ac:dyDescent="0.25"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</row>
    <row r="98" spans="4:16" x14ac:dyDescent="0.25"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</row>
    <row r="99" spans="4:16" x14ac:dyDescent="0.25"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</row>
    <row r="100" spans="4:16" x14ac:dyDescent="0.25"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</row>
    <row r="101" spans="4:16" x14ac:dyDescent="0.25"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</row>
    <row r="102" spans="4:16" x14ac:dyDescent="0.25"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</row>
    <row r="103" spans="4:16" x14ac:dyDescent="0.25"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</row>
    <row r="104" spans="4:16" x14ac:dyDescent="0.25"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</row>
    <row r="105" spans="4:16" x14ac:dyDescent="0.25">
      <c r="D105" s="59"/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59"/>
    </row>
    <row r="106" spans="4:16" x14ac:dyDescent="0.25"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</row>
    <row r="107" spans="4:16" x14ac:dyDescent="0.25"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</row>
    <row r="108" spans="4:16" x14ac:dyDescent="0.25"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</row>
    <row r="109" spans="4:16" x14ac:dyDescent="0.25"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</row>
    <row r="110" spans="4:16" x14ac:dyDescent="0.25"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</row>
  </sheetData>
  <sheetProtection algorithmName="SHA-512" hashValue="uSxhePVLK6IxqvZotHjo/GBLbxqPpYbFitBHZBCUjRN76kJzKYP/1CVY9v/vkA/U0MhCzsaADMHC2A75dSpndA==" saltValue="sMwdDrLXxLQwcTkbMnJipw==" spinCount="100000" sheet="1" objects="1" scenarios="1"/>
  <mergeCells count="8">
    <mergeCell ref="S7:S8"/>
    <mergeCell ref="Q44:S44"/>
    <mergeCell ref="D7:P7"/>
    <mergeCell ref="A7:A8"/>
    <mergeCell ref="B7:B8"/>
    <mergeCell ref="C7:C8"/>
    <mergeCell ref="Q7:Q8"/>
    <mergeCell ref="R7:R8"/>
  </mergeCells>
  <printOptions horizontalCentered="1"/>
  <pageMargins left="0.7" right="0.7" top="0.75" bottom="0.75" header="0.3" footer="0.3"/>
  <pageSetup paperSize="9" scale="4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05"/>
  <sheetViews>
    <sheetView showGridLines="0" workbookViewId="0">
      <selection activeCell="B3" sqref="B3"/>
    </sheetView>
  </sheetViews>
  <sheetFormatPr defaultRowHeight="15" x14ac:dyDescent="0.25"/>
  <cols>
    <col min="1" max="1" width="9.140625" style="42"/>
    <col min="2" max="2" width="17.7109375" style="42" customWidth="1"/>
    <col min="3" max="3" width="30.7109375" style="42" customWidth="1"/>
    <col min="4" max="7" width="15.42578125" style="42" customWidth="1"/>
    <col min="8" max="8" width="15.7109375" style="42" customWidth="1"/>
    <col min="9" max="9" width="8.7109375" style="42" customWidth="1"/>
    <col min="10" max="10" width="15.7109375" style="42" customWidth="1"/>
    <col min="11" max="11" width="8.7109375" style="42" customWidth="1"/>
    <col min="12" max="14" width="10.140625" style="42" customWidth="1"/>
    <col min="15" max="16384" width="9.140625" style="42"/>
  </cols>
  <sheetData>
    <row r="2" spans="1:14" ht="30" x14ac:dyDescent="0.4">
      <c r="B2" s="43" t="s">
        <v>376</v>
      </c>
    </row>
    <row r="4" spans="1:14" ht="31.5" x14ac:dyDescent="0.5">
      <c r="A4" s="44" t="s">
        <v>304</v>
      </c>
    </row>
    <row r="5" spans="1:14" x14ac:dyDescent="0.25">
      <c r="A5" s="70" t="str">
        <f>Cover!G14</f>
        <v>Term 1</v>
      </c>
      <c r="B5" s="71" t="s">
        <v>262</v>
      </c>
      <c r="C5" s="72" t="str">
        <f>Cover!L14</f>
        <v>2017 / 2018</v>
      </c>
      <c r="D5" s="57"/>
      <c r="M5" s="70" t="s">
        <v>39</v>
      </c>
      <c r="N5" s="73">
        <f>Cover!C14</f>
        <v>10.1</v>
      </c>
    </row>
    <row r="7" spans="1:14" x14ac:dyDescent="0.25">
      <c r="A7" s="110" t="s">
        <v>27</v>
      </c>
      <c r="B7" s="110" t="s">
        <v>28</v>
      </c>
      <c r="C7" s="110" t="s">
        <v>29</v>
      </c>
      <c r="D7" s="113" t="s">
        <v>298</v>
      </c>
      <c r="E7" s="114"/>
      <c r="F7" s="114"/>
      <c r="G7" s="115"/>
      <c r="H7" s="113" t="s">
        <v>300</v>
      </c>
      <c r="I7" s="114"/>
      <c r="J7" s="114"/>
      <c r="K7" s="115"/>
      <c r="L7" s="113" t="s">
        <v>295</v>
      </c>
      <c r="M7" s="114"/>
      <c r="N7" s="115"/>
    </row>
    <row r="8" spans="1:14" x14ac:dyDescent="0.25">
      <c r="A8" s="110"/>
      <c r="B8" s="110"/>
      <c r="C8" s="110"/>
      <c r="D8" s="74" t="s">
        <v>290</v>
      </c>
      <c r="E8" s="74" t="s">
        <v>273</v>
      </c>
      <c r="F8" s="74" t="s">
        <v>274</v>
      </c>
      <c r="G8" s="74" t="s">
        <v>299</v>
      </c>
      <c r="H8" s="74">
        <v>1</v>
      </c>
      <c r="I8" s="74" t="s">
        <v>291</v>
      </c>
      <c r="J8" s="74">
        <v>2</v>
      </c>
      <c r="K8" s="74" t="s">
        <v>291</v>
      </c>
      <c r="L8" s="74" t="s">
        <v>301</v>
      </c>
      <c r="M8" s="74" t="s">
        <v>302</v>
      </c>
      <c r="N8" s="74" t="s">
        <v>303</v>
      </c>
    </row>
    <row r="9" spans="1:14" x14ac:dyDescent="0.25">
      <c r="A9" s="75">
        <f>'Marking Page'!A9</f>
        <v>1</v>
      </c>
      <c r="B9" s="76" t="str">
        <f>'Marking Page'!B9</f>
        <v>590/0018211428</v>
      </c>
      <c r="C9" s="77" t="str">
        <f>'Marking Page'!C9</f>
        <v>ANDREW HARDJONO</v>
      </c>
      <c r="D9" s="81"/>
      <c r="E9" s="80"/>
      <c r="F9" s="80"/>
      <c r="G9" s="80"/>
      <c r="H9" s="80"/>
      <c r="I9" s="80"/>
      <c r="J9" s="80"/>
      <c r="K9" s="80"/>
      <c r="L9" s="80"/>
      <c r="M9" s="80"/>
      <c r="N9" s="80"/>
    </row>
    <row r="10" spans="1:14" x14ac:dyDescent="0.25">
      <c r="A10" s="75">
        <f>'Marking Page'!A10</f>
        <v>2</v>
      </c>
      <c r="B10" s="76" t="str">
        <f>'Marking Page'!B10</f>
        <v>594/0024014816</v>
      </c>
      <c r="C10" s="77" t="str">
        <f>'Marking Page'!C10</f>
        <v>BENEDICT WIJAYA</v>
      </c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</row>
    <row r="11" spans="1:14" x14ac:dyDescent="0.25">
      <c r="A11" s="75">
        <f>'Marking Page'!A11</f>
        <v>3</v>
      </c>
      <c r="B11" s="76" t="str">
        <f>'Marking Page'!B11</f>
        <v>608/0023094497</v>
      </c>
      <c r="C11" s="77" t="str">
        <f>'Marking Page'!C11</f>
        <v>FLORENTINA SUGIANTO</v>
      </c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</row>
    <row r="12" spans="1:14" x14ac:dyDescent="0.25">
      <c r="A12" s="75">
        <f>'Marking Page'!A12</f>
        <v>4</v>
      </c>
      <c r="B12" s="76" t="str">
        <f>'Marking Page'!B12</f>
        <v>611/0026911212</v>
      </c>
      <c r="C12" s="77" t="str">
        <f>'Marking Page'!C12</f>
        <v>GRACE SANTOSA</v>
      </c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</row>
    <row r="13" spans="1:14" x14ac:dyDescent="0.25">
      <c r="A13" s="75">
        <f>'Marking Page'!A13</f>
        <v>5</v>
      </c>
      <c r="B13" s="76" t="str">
        <f>'Marking Page'!B13</f>
        <v>613/0025273792</v>
      </c>
      <c r="C13" s="77" t="str">
        <f>'Marking Page'!C13</f>
        <v>HANS SAMUEL</v>
      </c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</row>
    <row r="14" spans="1:14" x14ac:dyDescent="0.25">
      <c r="A14" s="75">
        <f>'Marking Page'!A14</f>
        <v>6</v>
      </c>
      <c r="B14" s="76" t="str">
        <f>'Marking Page'!B14</f>
        <v>618/0025273776</v>
      </c>
      <c r="C14" s="77" t="str">
        <f>'Marking Page'!C14</f>
        <v>JEFFA  DARREN MYRON</v>
      </c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</row>
    <row r="15" spans="1:14" x14ac:dyDescent="0.25">
      <c r="A15" s="75">
        <f>'Marking Page'!A15</f>
        <v>7</v>
      </c>
      <c r="B15" s="76" t="str">
        <f>'Marking Page'!B15</f>
        <v>619/0016751062</v>
      </c>
      <c r="C15" s="77" t="str">
        <f>'Marking Page'!C15</f>
        <v>JEREMY JECONIAH</v>
      </c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</row>
    <row r="16" spans="1:14" x14ac:dyDescent="0.25">
      <c r="A16" s="75">
        <f>'Marking Page'!A16</f>
        <v>8</v>
      </c>
      <c r="B16" s="76" t="str">
        <f>'Marking Page'!B16</f>
        <v>622/0020653207</v>
      </c>
      <c r="C16" s="77" t="str">
        <f>'Marking Page'!C16</f>
        <v>JOCELYN IVANA</v>
      </c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</row>
    <row r="17" spans="1:14" x14ac:dyDescent="0.25">
      <c r="A17" s="75">
        <f>'Marking Page'!A17</f>
        <v>9</v>
      </c>
      <c r="B17" s="76" t="str">
        <f>'Marking Page'!B17</f>
        <v>627/0023094483</v>
      </c>
      <c r="C17" s="77" t="str">
        <f>'Marking Page'!C17</f>
        <v>JOSHUA IMMANUEL ROCHILLI</v>
      </c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</row>
    <row r="18" spans="1:14" x14ac:dyDescent="0.25">
      <c r="A18" s="75">
        <f>'Marking Page'!A18</f>
        <v>10</v>
      </c>
      <c r="B18" s="76" t="str">
        <f>'Marking Page'!B18</f>
        <v>629/0023094214</v>
      </c>
      <c r="C18" s="77" t="str">
        <f>'Marking Page'!C18</f>
        <v>KEZIA CHRISTABELA LAKSONO</v>
      </c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</row>
    <row r="19" spans="1:14" x14ac:dyDescent="0.25">
      <c r="A19" s="75">
        <f>'Marking Page'!A19</f>
        <v>11</v>
      </c>
      <c r="B19" s="76" t="str">
        <f>'Marking Page'!B19</f>
        <v>635/0023094459</v>
      </c>
      <c r="C19" s="77" t="str">
        <f>'Marking Page'!C19</f>
        <v>MATTHEW CLERENCE LIEGO</v>
      </c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</row>
    <row r="20" spans="1:14" x14ac:dyDescent="0.25">
      <c r="A20" s="75">
        <f>'Marking Page'!A20</f>
        <v>12</v>
      </c>
      <c r="B20" s="76" t="str">
        <f>'Marking Page'!B20</f>
        <v>641/0023094455</v>
      </c>
      <c r="C20" s="77" t="str">
        <f>'Marking Page'!C20</f>
        <v>MICHAEL ANTONIO BOENTORO</v>
      </c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</row>
    <row r="21" spans="1:14" x14ac:dyDescent="0.25">
      <c r="A21" s="75">
        <f>'Marking Page'!A21</f>
        <v>13</v>
      </c>
      <c r="B21" s="76" t="str">
        <f>'Marking Page'!B21</f>
        <v>644/0025273819</v>
      </c>
      <c r="C21" s="77" t="str">
        <f>'Marking Page'!C21</f>
        <v>NADIA</v>
      </c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</row>
    <row r="22" spans="1:14" x14ac:dyDescent="0.25">
      <c r="A22" s="75">
        <f>'Marking Page'!A22</f>
        <v>14</v>
      </c>
      <c r="B22" s="76" t="str">
        <f>'Marking Page'!B22</f>
        <v>646/0023094503</v>
      </c>
      <c r="C22" s="77" t="str">
        <f>'Marking Page'!C22</f>
        <v>NATHANIA BERNICE</v>
      </c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</row>
    <row r="23" spans="1:14" x14ac:dyDescent="0.25">
      <c r="A23" s="75">
        <f>'Marking Page'!A23</f>
        <v>15</v>
      </c>
      <c r="B23" s="76" t="str">
        <f>'Marking Page'!B23</f>
        <v>650/0016158284</v>
      </c>
      <c r="C23" s="77" t="str">
        <f>'Marking Page'!C23</f>
        <v>SALYVANA KRISANTO</v>
      </c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</row>
    <row r="24" spans="1:14" x14ac:dyDescent="0.25">
      <c r="A24" s="75">
        <f>'Marking Page'!A24</f>
        <v>16</v>
      </c>
      <c r="B24" s="76" t="str">
        <f>'Marking Page'!B24</f>
        <v>651/0016055018</v>
      </c>
      <c r="C24" s="77" t="str">
        <f>'Marking Page'!C24</f>
        <v>SAMUEL AGUSTO</v>
      </c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</row>
    <row r="25" spans="1:14" x14ac:dyDescent="0.25">
      <c r="A25" s="75">
        <f>'Marking Page'!A25</f>
        <v>17</v>
      </c>
      <c r="B25" s="76" t="str">
        <f>'Marking Page'!B25</f>
        <v>654/0023094448</v>
      </c>
      <c r="C25" s="77" t="str">
        <f>'Marking Page'!C25</f>
        <v>SHANIKA IVERNA TAMARA</v>
      </c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</row>
    <row r="26" spans="1:14" x14ac:dyDescent="0.25">
      <c r="A26" s="75">
        <f>'Marking Page'!A26</f>
        <v>18</v>
      </c>
      <c r="B26" s="76" t="str">
        <f>'Marking Page'!B26</f>
        <v>657/0020750427</v>
      </c>
      <c r="C26" s="77" t="str">
        <f>'Marking Page'!C26</f>
        <v>TASHA LAURETTA</v>
      </c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</row>
    <row r="27" spans="1:14" x14ac:dyDescent="0.25">
      <c r="A27" s="75">
        <f>'Marking Page'!A27</f>
        <v>19</v>
      </c>
      <c r="B27" s="76" t="str">
        <f>'Marking Page'!B27</f>
        <v>627/0023094483</v>
      </c>
      <c r="C27" s="77" t="str">
        <f>'Marking Page'!C27</f>
        <v>TIMOTHY FARREL TJONDROJO</v>
      </c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</row>
    <row r="28" spans="1:14" x14ac:dyDescent="0.25">
      <c r="A28" s="75">
        <f>'Marking Page'!A28</f>
        <v>20</v>
      </c>
      <c r="B28" s="76" t="str">
        <f>'Marking Page'!B28</f>
        <v>663/0024195587</v>
      </c>
      <c r="C28" s="77" t="str">
        <f>'Marking Page'!C28</f>
        <v>YASMIN ANGGRAINI TEGUH</v>
      </c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</row>
    <row r="29" spans="1:14" x14ac:dyDescent="0.25">
      <c r="A29" s="75" t="str">
        <f>'Marking Page'!A29</f>
        <v xml:space="preserve"> </v>
      </c>
      <c r="B29" s="76" t="str">
        <f>'Marking Page'!B29</f>
        <v xml:space="preserve"> </v>
      </c>
      <c r="C29" s="77" t="str">
        <f>'Marking Page'!C29</f>
        <v xml:space="preserve"> </v>
      </c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</row>
    <row r="30" spans="1:14" x14ac:dyDescent="0.25">
      <c r="A30" s="75" t="str">
        <f>'Marking Page'!A30</f>
        <v xml:space="preserve"> </v>
      </c>
      <c r="B30" s="76" t="str">
        <f>'Marking Page'!B30</f>
        <v xml:space="preserve"> </v>
      </c>
      <c r="C30" s="77" t="str">
        <f>'Marking Page'!C30</f>
        <v xml:space="preserve"> </v>
      </c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</row>
    <row r="31" spans="1:14" x14ac:dyDescent="0.25">
      <c r="A31" s="75" t="str">
        <f>'Marking Page'!A31</f>
        <v xml:space="preserve"> </v>
      </c>
      <c r="B31" s="76" t="str">
        <f>'Marking Page'!B31</f>
        <v xml:space="preserve"> </v>
      </c>
      <c r="C31" s="77" t="str">
        <f>'Marking Page'!C31</f>
        <v xml:space="preserve"> </v>
      </c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</row>
    <row r="32" spans="1:14" x14ac:dyDescent="0.25">
      <c r="A32" s="75" t="str">
        <f>'Marking Page'!A32</f>
        <v xml:space="preserve"> </v>
      </c>
      <c r="B32" s="76" t="str">
        <f>'Marking Page'!B32</f>
        <v xml:space="preserve"> </v>
      </c>
      <c r="C32" s="77" t="str">
        <f>'Marking Page'!C32</f>
        <v xml:space="preserve"> </v>
      </c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</row>
    <row r="33" spans="2:14" x14ac:dyDescent="0.25"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</row>
    <row r="34" spans="2:14" x14ac:dyDescent="0.25">
      <c r="D34" s="59"/>
      <c r="E34" s="59"/>
      <c r="F34" s="59"/>
      <c r="G34" s="59"/>
      <c r="H34" s="59"/>
      <c r="I34" s="59"/>
      <c r="J34" s="59"/>
      <c r="K34" s="59"/>
      <c r="L34" s="42" t="s">
        <v>22</v>
      </c>
      <c r="M34" s="116">
        <f>'Marking Page'!R39</f>
        <v>0</v>
      </c>
      <c r="N34" s="116"/>
    </row>
    <row r="35" spans="2:14" x14ac:dyDescent="0.25">
      <c r="B35" s="42" t="s">
        <v>25</v>
      </c>
      <c r="D35" s="59"/>
      <c r="E35" s="59"/>
      <c r="F35" s="59"/>
      <c r="G35" s="59"/>
      <c r="H35" s="59"/>
      <c r="I35" s="59"/>
      <c r="J35" s="59"/>
      <c r="K35" s="59"/>
      <c r="L35" s="42" t="s">
        <v>245</v>
      </c>
    </row>
    <row r="36" spans="2:14" x14ac:dyDescent="0.25">
      <c r="D36" s="59"/>
      <c r="E36" s="59"/>
      <c r="F36" s="59"/>
      <c r="G36" s="59"/>
      <c r="H36" s="59"/>
      <c r="I36" s="59"/>
      <c r="J36" s="59"/>
      <c r="K36" s="59"/>
    </row>
    <row r="37" spans="2:14" x14ac:dyDescent="0.25">
      <c r="D37" s="59"/>
      <c r="E37" s="59"/>
      <c r="F37" s="59"/>
      <c r="G37" s="59"/>
      <c r="H37" s="59"/>
      <c r="I37" s="59"/>
      <c r="J37" s="59"/>
      <c r="K37" s="59"/>
    </row>
    <row r="38" spans="2:14" x14ac:dyDescent="0.25">
      <c r="D38" s="59"/>
      <c r="E38" s="59"/>
      <c r="F38" s="59"/>
      <c r="G38" s="59"/>
      <c r="H38" s="59"/>
      <c r="I38" s="59"/>
      <c r="J38" s="59"/>
      <c r="K38" s="59"/>
    </row>
    <row r="39" spans="2:14" x14ac:dyDescent="0.25">
      <c r="B39" s="48" t="str">
        <f>'Marking Page'!B44</f>
        <v>Agustinus Siahaan, S.Si.</v>
      </c>
      <c r="D39" s="59"/>
      <c r="E39" s="59"/>
      <c r="F39" s="59"/>
      <c r="G39" s="59"/>
      <c r="H39" s="59"/>
      <c r="I39" s="59"/>
      <c r="J39" s="59"/>
      <c r="K39" s="59"/>
      <c r="L39" s="79" t="str">
        <f>'Marking Page'!Q44</f>
        <v>Radot Jefri S.O.H., S.T.</v>
      </c>
      <c r="M39" s="79"/>
      <c r="N39" s="79"/>
    </row>
    <row r="40" spans="2:14" x14ac:dyDescent="0.25"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</row>
    <row r="41" spans="2:14" x14ac:dyDescent="0.25"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</row>
    <row r="42" spans="2:14" x14ac:dyDescent="0.25"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</row>
    <row r="43" spans="2:14" x14ac:dyDescent="0.25"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</row>
    <row r="44" spans="2:14" x14ac:dyDescent="0.25"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</row>
    <row r="45" spans="2:14" x14ac:dyDescent="0.25"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</row>
    <row r="46" spans="2:14" x14ac:dyDescent="0.25"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</row>
    <row r="47" spans="2:14" x14ac:dyDescent="0.25"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</row>
    <row r="48" spans="2:14" x14ac:dyDescent="0.25"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</row>
    <row r="49" spans="4:14" x14ac:dyDescent="0.25"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</row>
    <row r="50" spans="4:14" x14ac:dyDescent="0.25"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</row>
    <row r="51" spans="4:14" x14ac:dyDescent="0.25"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</row>
    <row r="52" spans="4:14" x14ac:dyDescent="0.25"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</row>
    <row r="53" spans="4:14" x14ac:dyDescent="0.25"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</row>
    <row r="54" spans="4:14" x14ac:dyDescent="0.25"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</row>
    <row r="55" spans="4:14" x14ac:dyDescent="0.25"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</row>
    <row r="56" spans="4:14" x14ac:dyDescent="0.25"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</row>
    <row r="57" spans="4:14" x14ac:dyDescent="0.25"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</row>
    <row r="58" spans="4:14" x14ac:dyDescent="0.25"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</row>
    <row r="59" spans="4:14" x14ac:dyDescent="0.25"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</row>
    <row r="60" spans="4:14" x14ac:dyDescent="0.25"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</row>
    <row r="61" spans="4:14" x14ac:dyDescent="0.25"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</row>
    <row r="62" spans="4:14" x14ac:dyDescent="0.25"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</row>
    <row r="63" spans="4:14" x14ac:dyDescent="0.25"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</row>
    <row r="64" spans="4:14" x14ac:dyDescent="0.25"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</row>
    <row r="65" spans="4:14" x14ac:dyDescent="0.25"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</row>
    <row r="66" spans="4:14" x14ac:dyDescent="0.25"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</row>
    <row r="67" spans="4:14" x14ac:dyDescent="0.25"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</row>
    <row r="68" spans="4:14" x14ac:dyDescent="0.25"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</row>
    <row r="69" spans="4:14" x14ac:dyDescent="0.25"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</row>
    <row r="70" spans="4:14" x14ac:dyDescent="0.25"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</row>
    <row r="71" spans="4:14" x14ac:dyDescent="0.25"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</row>
    <row r="72" spans="4:14" x14ac:dyDescent="0.25"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</row>
    <row r="73" spans="4:14" x14ac:dyDescent="0.25"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</row>
    <row r="74" spans="4:14" x14ac:dyDescent="0.25"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</row>
    <row r="75" spans="4:14" x14ac:dyDescent="0.25"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</row>
    <row r="76" spans="4:14" x14ac:dyDescent="0.25"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</row>
    <row r="77" spans="4:14" x14ac:dyDescent="0.25"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</row>
    <row r="78" spans="4:14" x14ac:dyDescent="0.25"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</row>
    <row r="79" spans="4:14" x14ac:dyDescent="0.25"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</row>
    <row r="80" spans="4:14" x14ac:dyDescent="0.25"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</row>
    <row r="81" spans="4:14" x14ac:dyDescent="0.25"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</row>
    <row r="82" spans="4:14" x14ac:dyDescent="0.25"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</row>
    <row r="83" spans="4:14" x14ac:dyDescent="0.25"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</row>
    <row r="84" spans="4:14" x14ac:dyDescent="0.25"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</row>
    <row r="85" spans="4:14" x14ac:dyDescent="0.25"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</row>
    <row r="86" spans="4:14" x14ac:dyDescent="0.25"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</row>
    <row r="87" spans="4:14" x14ac:dyDescent="0.25">
      <c r="D87" s="59"/>
      <c r="E87" s="59"/>
      <c r="F87" s="59"/>
      <c r="G87" s="59"/>
      <c r="H87" s="59"/>
      <c r="I87" s="59"/>
      <c r="J87" s="59"/>
      <c r="K87" s="59"/>
      <c r="L87" s="59"/>
      <c r="M87" s="59"/>
      <c r="N87" s="59"/>
    </row>
    <row r="88" spans="4:14" x14ac:dyDescent="0.25">
      <c r="D88" s="59"/>
      <c r="E88" s="59"/>
      <c r="F88" s="59"/>
      <c r="G88" s="59"/>
      <c r="H88" s="59"/>
      <c r="I88" s="59"/>
      <c r="J88" s="59"/>
      <c r="K88" s="59"/>
      <c r="L88" s="59"/>
      <c r="M88" s="59"/>
      <c r="N88" s="59"/>
    </row>
    <row r="89" spans="4:14" x14ac:dyDescent="0.25">
      <c r="D89" s="59"/>
      <c r="E89" s="59"/>
      <c r="F89" s="59"/>
      <c r="G89" s="59"/>
      <c r="H89" s="59"/>
      <c r="I89" s="59"/>
      <c r="J89" s="59"/>
      <c r="K89" s="59"/>
      <c r="L89" s="59"/>
      <c r="M89" s="59"/>
      <c r="N89" s="59"/>
    </row>
    <row r="90" spans="4:14" x14ac:dyDescent="0.25"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</row>
    <row r="91" spans="4:14" x14ac:dyDescent="0.25"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</row>
    <row r="92" spans="4:14" x14ac:dyDescent="0.25">
      <c r="D92" s="59"/>
      <c r="E92" s="59"/>
      <c r="F92" s="59"/>
      <c r="G92" s="59"/>
      <c r="H92" s="59"/>
      <c r="I92" s="59"/>
      <c r="J92" s="59"/>
      <c r="K92" s="59"/>
      <c r="L92" s="59"/>
      <c r="M92" s="59"/>
      <c r="N92" s="59"/>
    </row>
    <row r="93" spans="4:14" x14ac:dyDescent="0.25"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</row>
    <row r="94" spans="4:14" x14ac:dyDescent="0.25"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</row>
    <row r="95" spans="4:14" x14ac:dyDescent="0.25"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</row>
    <row r="96" spans="4:14" x14ac:dyDescent="0.25"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</row>
    <row r="97" spans="4:14" x14ac:dyDescent="0.25"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</row>
    <row r="98" spans="4:14" x14ac:dyDescent="0.25"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</row>
    <row r="99" spans="4:14" x14ac:dyDescent="0.25"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</row>
    <row r="100" spans="4:14" x14ac:dyDescent="0.25"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</row>
    <row r="101" spans="4:14" x14ac:dyDescent="0.25"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</row>
    <row r="102" spans="4:14" x14ac:dyDescent="0.25"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</row>
    <row r="103" spans="4:14" x14ac:dyDescent="0.25"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</row>
    <row r="104" spans="4:14" x14ac:dyDescent="0.25"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</row>
    <row r="105" spans="4:14" x14ac:dyDescent="0.25">
      <c r="D105" s="59"/>
      <c r="E105" s="59"/>
      <c r="F105" s="59"/>
      <c r="G105" s="59"/>
      <c r="H105" s="59"/>
      <c r="I105" s="59"/>
      <c r="J105" s="59"/>
      <c r="K105" s="59"/>
      <c r="L105" s="59"/>
      <c r="M105" s="59"/>
      <c r="N105" s="59"/>
    </row>
  </sheetData>
  <sheetProtection algorithmName="SHA-512" hashValue="RORKvHj4yh1XUUoZntlGb4iS2bUvRLJC8ehnxi8RHlHvr8w7XarZXQXGVgWHhHkhh8cFJAY1q56qjKP6YKk4cw==" saltValue="/NpqkUGS7BoAzqKgI+rN1Q==" spinCount="100000" sheet="1" objects="1" scenarios="1"/>
  <mergeCells count="7">
    <mergeCell ref="D7:G7"/>
    <mergeCell ref="H7:K7"/>
    <mergeCell ref="L7:N7"/>
    <mergeCell ref="M34:N34"/>
    <mergeCell ref="A7:A8"/>
    <mergeCell ref="B7:B8"/>
    <mergeCell ref="C7:C8"/>
  </mergeCells>
  <printOptions horizontalCentered="1"/>
  <pageMargins left="0.7" right="0.7" top="0.75" bottom="0.75" header="0.3" footer="0.3"/>
  <pageSetup paperSize="9" scale="6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05"/>
  <sheetViews>
    <sheetView topLeftCell="D1" workbookViewId="0">
      <selection activeCell="T8" sqref="T8"/>
    </sheetView>
  </sheetViews>
  <sheetFormatPr defaultRowHeight="15" x14ac:dyDescent="0.25"/>
  <cols>
    <col min="2" max="2" width="17.7109375" customWidth="1"/>
    <col min="3" max="3" width="30.7109375" customWidth="1"/>
    <col min="4" max="4" width="5.7109375" customWidth="1"/>
    <col min="5" max="5" width="20.7109375" customWidth="1"/>
    <col min="6" max="18" width="8.7109375" customWidth="1"/>
    <col min="20" max="20" width="26" customWidth="1"/>
  </cols>
  <sheetData>
    <row r="2" spans="1:20" ht="31.5" x14ac:dyDescent="0.5">
      <c r="A2" s="3" t="s">
        <v>251</v>
      </c>
    </row>
    <row r="3" spans="1:20" x14ac:dyDescent="0.25">
      <c r="A3" s="7" t="str">
        <f>'Marking Page'!A5</f>
        <v>Term 1</v>
      </c>
      <c r="B3" s="39" t="str">
        <f>'Marking Page'!B5</f>
        <v>Year</v>
      </c>
      <c r="C3" s="8" t="str">
        <f>'Marking Page'!C5</f>
        <v>2017 / 2018</v>
      </c>
      <c r="D3" s="8"/>
      <c r="E3" s="8"/>
      <c r="F3" s="6"/>
      <c r="Q3" s="14" t="s">
        <v>254</v>
      </c>
      <c r="R3" s="4">
        <f>'Marking Page'!S5</f>
        <v>10.1</v>
      </c>
    </row>
    <row r="4" spans="1:20" x14ac:dyDescent="0.25">
      <c r="A4" s="7"/>
      <c r="B4" s="7"/>
      <c r="C4" s="8"/>
      <c r="D4" s="8"/>
      <c r="E4" s="8"/>
      <c r="F4" s="6"/>
      <c r="Q4" s="35"/>
      <c r="R4" s="4"/>
    </row>
    <row r="5" spans="1:20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  <c r="J5" s="4">
        <v>10</v>
      </c>
      <c r="K5" s="4">
        <v>11</v>
      </c>
      <c r="L5" s="4">
        <v>12</v>
      </c>
      <c r="M5" s="4">
        <v>13</v>
      </c>
      <c r="N5" s="4">
        <v>14</v>
      </c>
      <c r="O5" s="4">
        <v>15</v>
      </c>
      <c r="P5" s="4">
        <v>16</v>
      </c>
      <c r="Q5" s="4">
        <v>17</v>
      </c>
      <c r="R5" s="4">
        <v>18</v>
      </c>
      <c r="S5" s="4">
        <v>19</v>
      </c>
      <c r="T5" s="4">
        <v>20</v>
      </c>
    </row>
    <row r="6" spans="1:20" x14ac:dyDescent="0.25">
      <c r="A6" s="117" t="s">
        <v>27</v>
      </c>
      <c r="B6" s="117" t="s">
        <v>28</v>
      </c>
      <c r="C6" s="117" t="s">
        <v>29</v>
      </c>
      <c r="D6" s="119" t="s">
        <v>252</v>
      </c>
      <c r="E6" s="119" t="s">
        <v>253</v>
      </c>
      <c r="F6" s="118" t="s">
        <v>30</v>
      </c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7" t="s">
        <v>37</v>
      </c>
      <c r="T6" s="117" t="s">
        <v>255</v>
      </c>
    </row>
    <row r="7" spans="1:20" x14ac:dyDescent="0.25">
      <c r="A7" s="117"/>
      <c r="B7" s="117"/>
      <c r="C7" s="117"/>
      <c r="D7" s="120"/>
      <c r="E7" s="120"/>
      <c r="F7" s="29" t="str">
        <f>'Marking Page'!D8</f>
        <v>Agama</v>
      </c>
      <c r="G7" s="29" t="str">
        <f>'Marking Page'!E8</f>
        <v>B. Indo</v>
      </c>
      <c r="H7" s="29" t="str">
        <f>'Marking Page'!F8</f>
        <v>PKN</v>
      </c>
      <c r="I7" s="29" t="str">
        <f>'Marking Page'!G8</f>
        <v>English</v>
      </c>
      <c r="J7" s="29" t="str">
        <f>'Marking Page'!H8</f>
        <v>Math</v>
      </c>
      <c r="K7" s="29" t="str">
        <f>'Marking Page'!I8</f>
        <v>Physics</v>
      </c>
      <c r="L7" s="29" t="str">
        <f>'Marking Page'!J8</f>
        <v>Biology</v>
      </c>
      <c r="M7" s="29" t="str">
        <f>'Marking Page'!K8</f>
        <v>Chem</v>
      </c>
      <c r="N7" s="29" t="str">
        <f>'Marking Page'!L8</f>
        <v>Business</v>
      </c>
      <c r="O7" s="29" t="str">
        <f>'Marking Page'!M8</f>
        <v>Mand</v>
      </c>
      <c r="P7" s="41" t="str">
        <f>'Marking Page'!N8</f>
        <v>ICT</v>
      </c>
      <c r="Q7" s="29" t="str">
        <f>'Marking Page'!O8</f>
        <v>ICA</v>
      </c>
      <c r="R7" s="29" t="str">
        <f>'Marking Page'!P8</f>
        <v>PE</v>
      </c>
      <c r="S7" s="117"/>
      <c r="T7" s="117"/>
    </row>
    <row r="8" spans="1:20" x14ac:dyDescent="0.25">
      <c r="A8" s="17">
        <f>'Marking Page'!A9</f>
        <v>1</v>
      </c>
      <c r="B8" s="33" t="str">
        <f>'Marking Page'!B9</f>
        <v>590/0018211428</v>
      </c>
      <c r="C8" s="38" t="str">
        <f>'Marking Page'!C9</f>
        <v>ANDREW HARDJONO</v>
      </c>
      <c r="D8" s="33" t="str">
        <f>IF(C8=" "," ",HLOOKUP($R$3,gender,2,1))</f>
        <v>M</v>
      </c>
      <c r="E8" s="33" t="str">
        <f>IF(C8=" "," ",HLOOKUP($R$3,birth,2,1))</f>
        <v>18 December 2001</v>
      </c>
      <c r="F8" s="33">
        <f>IF(C8=" "," ",'Marking Page'!D9)</f>
        <v>0</v>
      </c>
      <c r="G8" s="33">
        <f>IF(D8=" "," ",'Marking Page'!E9)</f>
        <v>0</v>
      </c>
      <c r="H8" s="33">
        <f>IF(E8=" "," ",'Marking Page'!F9)</f>
        <v>0</v>
      </c>
      <c r="I8" s="33">
        <f>IF(F8=" "," ",'Marking Page'!G9)</f>
        <v>0</v>
      </c>
      <c r="J8" s="33">
        <f>IF(G8=" "," ",'Marking Page'!H9)</f>
        <v>0</v>
      </c>
      <c r="K8" s="33">
        <f>IF(H8=" "," ",'Marking Page'!I9)</f>
        <v>0</v>
      </c>
      <c r="L8" s="33">
        <f>IF(I8=" "," ",'Marking Page'!J9)</f>
        <v>0</v>
      </c>
      <c r="M8" s="33">
        <f>IF(J8=" "," ",'Marking Page'!K9)</f>
        <v>0</v>
      </c>
      <c r="N8" s="33">
        <f>IF(K8=" "," ",'Marking Page'!L9)</f>
        <v>0</v>
      </c>
      <c r="O8" s="33">
        <f>IF(L8=" "," ",'Marking Page'!M9)</f>
        <v>0</v>
      </c>
      <c r="P8" s="33">
        <f>IF(M8=" "," ",'Marking Page'!N9)</f>
        <v>0</v>
      </c>
      <c r="Q8" s="33">
        <f>IF(M8=" "," ",'Marking Page'!O9)</f>
        <v>0</v>
      </c>
      <c r="R8" s="33">
        <f>IF(N8=" "," ",'Marking Page'!P9)</f>
        <v>0</v>
      </c>
      <c r="S8" s="9">
        <f>'Marking Page'!V9</f>
        <v>0</v>
      </c>
      <c r="T8" s="36" t="str">
        <f>IF(S8=" "," ",IF(S8="B","Mandarin (Basic)","Mandarin (Intermediate)"))</f>
        <v>Mandarin (Intermediate)</v>
      </c>
    </row>
    <row r="9" spans="1:20" x14ac:dyDescent="0.25">
      <c r="A9" s="17">
        <f>'Marking Page'!A10</f>
        <v>2</v>
      </c>
      <c r="B9" s="33" t="str">
        <f>'Marking Page'!B10</f>
        <v>594/0024014816</v>
      </c>
      <c r="C9" s="38" t="str">
        <f>'Marking Page'!C10</f>
        <v>BENEDICT WIJAYA</v>
      </c>
      <c r="D9" s="33" t="str">
        <f>IF(C9=" "," ",HLOOKUP($R$3,gender,3,1))</f>
        <v>M</v>
      </c>
      <c r="E9" s="33" t="str">
        <f>IF(C9=" "," ",HLOOKUP($R$3,birth,3,1))</f>
        <v>27 March 2002</v>
      </c>
      <c r="F9" s="33">
        <f>IF(C9=" "," ",'Marking Page'!D10)</f>
        <v>0</v>
      </c>
      <c r="G9" s="33">
        <f>IF(D9=" "," ",'Marking Page'!E10)</f>
        <v>0</v>
      </c>
      <c r="H9" s="33">
        <f>IF(E9=" "," ",'Marking Page'!F10)</f>
        <v>0</v>
      </c>
      <c r="I9" s="33">
        <f>IF(F9=" "," ",'Marking Page'!G10)</f>
        <v>0</v>
      </c>
      <c r="J9" s="33">
        <f>IF(G9=" "," ",'Marking Page'!H10)</f>
        <v>0</v>
      </c>
      <c r="K9" s="33">
        <f>IF(H9=" "," ",'Marking Page'!I10)</f>
        <v>0</v>
      </c>
      <c r="L9" s="33">
        <f>IF(I9=" "," ",'Marking Page'!J10)</f>
        <v>0</v>
      </c>
      <c r="M9" s="33">
        <f>IF(J9=" "," ",'Marking Page'!K10)</f>
        <v>0</v>
      </c>
      <c r="N9" s="33">
        <f>IF(K9=" "," ",'Marking Page'!L10)</f>
        <v>0</v>
      </c>
      <c r="O9" s="33">
        <f>IF(L9=" "," ",'Marking Page'!M10)</f>
        <v>0</v>
      </c>
      <c r="P9" s="33">
        <f>IF(M9=" "," ",'Marking Page'!N10)</f>
        <v>0</v>
      </c>
      <c r="Q9" s="33">
        <f>IF(M9=" "," ",'Marking Page'!O10)</f>
        <v>0</v>
      </c>
      <c r="R9" s="33">
        <f>IF(N9=" "," ",'Marking Page'!P10)</f>
        <v>0</v>
      </c>
      <c r="S9" s="9">
        <f>'Marking Page'!V10</f>
        <v>0</v>
      </c>
      <c r="T9" s="36" t="str">
        <f t="shared" ref="T9:T31" si="0">IF(S9=" "," ",IF(S9="B","Mandarin (Basic)","Mandarin (Intermediate)"))</f>
        <v>Mandarin (Intermediate)</v>
      </c>
    </row>
    <row r="10" spans="1:20" x14ac:dyDescent="0.25">
      <c r="A10" s="17">
        <f>'Marking Page'!A11</f>
        <v>3</v>
      </c>
      <c r="B10" s="33" t="str">
        <f>'Marking Page'!B11</f>
        <v>608/0023094497</v>
      </c>
      <c r="C10" s="38" t="str">
        <f>'Marking Page'!C11</f>
        <v>FLORENTINA SUGIANTO</v>
      </c>
      <c r="D10" s="33" t="str">
        <f>IF(C10=" "," ",HLOOKUP($R$3,gender,4,1))</f>
        <v>F</v>
      </c>
      <c r="E10" s="33" t="str">
        <f>IF(C10=" "," ",HLOOKUP($R$3,birth,4,1))</f>
        <v>11 November 2002</v>
      </c>
      <c r="F10" s="33">
        <f>IF(C10=" "," ",'Marking Page'!D11)</f>
        <v>0</v>
      </c>
      <c r="G10" s="33">
        <f>IF(D10=" "," ",'Marking Page'!E11)</f>
        <v>0</v>
      </c>
      <c r="H10" s="33">
        <f>IF(E10=" "," ",'Marking Page'!F11)</f>
        <v>0</v>
      </c>
      <c r="I10" s="33">
        <f>IF(F10=" "," ",'Marking Page'!G11)</f>
        <v>0</v>
      </c>
      <c r="J10" s="33">
        <f>IF(G10=" "," ",'Marking Page'!H11)</f>
        <v>0</v>
      </c>
      <c r="K10" s="33">
        <f>IF(H10=" "," ",'Marking Page'!I11)</f>
        <v>0</v>
      </c>
      <c r="L10" s="33">
        <f>IF(I10=" "," ",'Marking Page'!J11)</f>
        <v>0</v>
      </c>
      <c r="M10" s="33">
        <f>IF(J10=" "," ",'Marking Page'!K11)</f>
        <v>0</v>
      </c>
      <c r="N10" s="33">
        <f>IF(K10=" "," ",'Marking Page'!L11)</f>
        <v>0</v>
      </c>
      <c r="O10" s="33">
        <f>IF(L10=" "," ",'Marking Page'!M11)</f>
        <v>0</v>
      </c>
      <c r="P10" s="33">
        <f>IF(M10=" "," ",'Marking Page'!N11)</f>
        <v>0</v>
      </c>
      <c r="Q10" s="33">
        <f>IF(M10=" "," ",'Marking Page'!O11)</f>
        <v>0</v>
      </c>
      <c r="R10" s="33">
        <f>IF(N10=" "," ",'Marking Page'!P11)</f>
        <v>0</v>
      </c>
      <c r="S10" s="9">
        <f>'Marking Page'!V11</f>
        <v>0</v>
      </c>
      <c r="T10" s="36" t="str">
        <f t="shared" si="0"/>
        <v>Mandarin (Intermediate)</v>
      </c>
    </row>
    <row r="11" spans="1:20" x14ac:dyDescent="0.25">
      <c r="A11" s="17">
        <f>'Marking Page'!A12</f>
        <v>4</v>
      </c>
      <c r="B11" s="33" t="str">
        <f>'Marking Page'!B12</f>
        <v>611/0026911212</v>
      </c>
      <c r="C11" s="38" t="str">
        <f>'Marking Page'!C12</f>
        <v>GRACE SANTOSA</v>
      </c>
      <c r="D11" s="33" t="str">
        <f>IF(C11=" "," ",HLOOKUP($R$3,gender,5,1))</f>
        <v>F</v>
      </c>
      <c r="E11" s="33" t="str">
        <f>IF(C11=" "," ",HLOOKUP($R$3,birth,5,1))</f>
        <v>31 May 2002</v>
      </c>
      <c r="F11" s="33">
        <f>IF(C11=" "," ",'Marking Page'!D12)</f>
        <v>0</v>
      </c>
      <c r="G11" s="33">
        <f>IF(D11=" "," ",'Marking Page'!E12)</f>
        <v>0</v>
      </c>
      <c r="H11" s="33">
        <f>IF(E11=" "," ",'Marking Page'!F12)</f>
        <v>0</v>
      </c>
      <c r="I11" s="33">
        <f>IF(F11=" "," ",'Marking Page'!G12)</f>
        <v>0</v>
      </c>
      <c r="J11" s="33">
        <f>IF(G11=" "," ",'Marking Page'!H12)</f>
        <v>0</v>
      </c>
      <c r="K11" s="33">
        <f>IF(H11=" "," ",'Marking Page'!I12)</f>
        <v>0</v>
      </c>
      <c r="L11" s="33">
        <f>IF(I11=" "," ",'Marking Page'!J12)</f>
        <v>0</v>
      </c>
      <c r="M11" s="33">
        <f>IF(J11=" "," ",'Marking Page'!K12)</f>
        <v>0</v>
      </c>
      <c r="N11" s="33">
        <f>IF(K11=" "," ",'Marking Page'!L12)</f>
        <v>0</v>
      </c>
      <c r="O11" s="33">
        <f>IF(L11=" "," ",'Marking Page'!M12)</f>
        <v>0</v>
      </c>
      <c r="P11" s="33">
        <f>IF(M11=" "," ",'Marking Page'!N12)</f>
        <v>0</v>
      </c>
      <c r="Q11" s="33">
        <f>IF(M11=" "," ",'Marking Page'!O12)</f>
        <v>0</v>
      </c>
      <c r="R11" s="33">
        <f>IF(N11=" "," ",'Marking Page'!P12)</f>
        <v>0</v>
      </c>
      <c r="S11" s="9" t="str">
        <f>'Marking Page'!V12</f>
        <v>B</v>
      </c>
      <c r="T11" s="36" t="str">
        <f t="shared" si="0"/>
        <v>Mandarin (Basic)</v>
      </c>
    </row>
    <row r="12" spans="1:20" x14ac:dyDescent="0.25">
      <c r="A12" s="17">
        <f>'Marking Page'!A13</f>
        <v>5</v>
      </c>
      <c r="B12" s="33" t="str">
        <f>'Marking Page'!B13</f>
        <v>613/0025273792</v>
      </c>
      <c r="C12" s="38" t="str">
        <f>'Marking Page'!C13</f>
        <v>HANS SAMUEL</v>
      </c>
      <c r="D12" s="33" t="str">
        <f>IF(C12=" "," ",HLOOKUP($R$3,gender,6,1))</f>
        <v>M</v>
      </c>
      <c r="E12" s="33" t="str">
        <f>IF(C12=" "," ",HLOOKUP($R$3,birth,6,1))</f>
        <v>26 March 2002</v>
      </c>
      <c r="F12" s="33">
        <f>IF(C12=" "," ",'Marking Page'!D13)</f>
        <v>0</v>
      </c>
      <c r="G12" s="33">
        <f>IF(D12=" "," ",'Marking Page'!E13)</f>
        <v>0</v>
      </c>
      <c r="H12" s="33">
        <f>IF(E12=" "," ",'Marking Page'!F13)</f>
        <v>0</v>
      </c>
      <c r="I12" s="33">
        <f>IF(F12=" "," ",'Marking Page'!G13)</f>
        <v>0</v>
      </c>
      <c r="J12" s="33">
        <f>IF(G12=" "," ",'Marking Page'!H13)</f>
        <v>0</v>
      </c>
      <c r="K12" s="33">
        <f>IF(H12=" "," ",'Marking Page'!I13)</f>
        <v>0</v>
      </c>
      <c r="L12" s="33">
        <f>IF(I12=" "," ",'Marking Page'!J13)</f>
        <v>0</v>
      </c>
      <c r="M12" s="33">
        <f>IF(J12=" "," ",'Marking Page'!K13)</f>
        <v>0</v>
      </c>
      <c r="N12" s="33">
        <f>IF(K12=" "," ",'Marking Page'!L13)</f>
        <v>0</v>
      </c>
      <c r="O12" s="33">
        <f>IF(L12=" "," ",'Marking Page'!M13)</f>
        <v>0</v>
      </c>
      <c r="P12" s="33">
        <f>IF(M12=" "," ",'Marking Page'!N13)</f>
        <v>0</v>
      </c>
      <c r="Q12" s="33">
        <f>IF(M12=" "," ",'Marking Page'!O13)</f>
        <v>0</v>
      </c>
      <c r="R12" s="33">
        <f>IF(N12=" "," ",'Marking Page'!P13)</f>
        <v>0</v>
      </c>
      <c r="S12" s="9" t="str">
        <f>'Marking Page'!V13</f>
        <v>B</v>
      </c>
      <c r="T12" s="36" t="str">
        <f t="shared" si="0"/>
        <v>Mandarin (Basic)</v>
      </c>
    </row>
    <row r="13" spans="1:20" x14ac:dyDescent="0.25">
      <c r="A13" s="17">
        <f>'Marking Page'!A14</f>
        <v>6</v>
      </c>
      <c r="B13" s="33" t="str">
        <f>'Marking Page'!B14</f>
        <v>618/0025273776</v>
      </c>
      <c r="C13" s="38" t="str">
        <f>'Marking Page'!C14</f>
        <v>JEFFA  DARREN MYRON</v>
      </c>
      <c r="D13" s="33" t="str">
        <f>IF(C13=" "," ",HLOOKUP($R$3,gender,7,1))</f>
        <v>M</v>
      </c>
      <c r="E13" s="33" t="str">
        <f>IF(C13=" "," ",HLOOKUP($R$3,birth,7,1))</f>
        <v>18 January 2002</v>
      </c>
      <c r="F13" s="33">
        <f>IF(C13=" "," ",'Marking Page'!D14)</f>
        <v>0</v>
      </c>
      <c r="G13" s="33">
        <f>IF(D13=" "," ",'Marking Page'!E14)</f>
        <v>0</v>
      </c>
      <c r="H13" s="33">
        <f>IF(E13=" "," ",'Marking Page'!F14)</f>
        <v>0</v>
      </c>
      <c r="I13" s="33">
        <f>IF(F13=" "," ",'Marking Page'!G14)</f>
        <v>0</v>
      </c>
      <c r="J13" s="33">
        <f>IF(G13=" "," ",'Marking Page'!H14)</f>
        <v>0</v>
      </c>
      <c r="K13" s="33">
        <f>IF(H13=" "," ",'Marking Page'!I14)</f>
        <v>0</v>
      </c>
      <c r="L13" s="33">
        <f>IF(I13=" "," ",'Marking Page'!J14)</f>
        <v>0</v>
      </c>
      <c r="M13" s="33">
        <f>IF(J13=" "," ",'Marking Page'!K14)</f>
        <v>0</v>
      </c>
      <c r="N13" s="33">
        <f>IF(K13=" "," ",'Marking Page'!L14)</f>
        <v>0</v>
      </c>
      <c r="O13" s="33">
        <f>IF(L13=" "," ",'Marking Page'!M14)</f>
        <v>0</v>
      </c>
      <c r="P13" s="33">
        <f>IF(M13=" "," ",'Marking Page'!N14)</f>
        <v>0</v>
      </c>
      <c r="Q13" s="33">
        <f>IF(M13=" "," ",'Marking Page'!O14)</f>
        <v>0</v>
      </c>
      <c r="R13" s="33">
        <f>IF(N13=" "," ",'Marking Page'!P14)</f>
        <v>0</v>
      </c>
      <c r="S13" s="9" t="str">
        <f>'Marking Page'!V14</f>
        <v>B</v>
      </c>
      <c r="T13" s="36" t="str">
        <f t="shared" si="0"/>
        <v>Mandarin (Basic)</v>
      </c>
    </row>
    <row r="14" spans="1:20" x14ac:dyDescent="0.25">
      <c r="A14" s="17">
        <f>'Marking Page'!A15</f>
        <v>7</v>
      </c>
      <c r="B14" s="33" t="str">
        <f>'Marking Page'!B15</f>
        <v>619/0016751062</v>
      </c>
      <c r="C14" s="38" t="str">
        <f>'Marking Page'!C15</f>
        <v>JEREMY JECONIAH</v>
      </c>
      <c r="D14" s="33" t="str">
        <f>IF(C14=" "," ",HLOOKUP($R$3,gender,8,1))</f>
        <v>M</v>
      </c>
      <c r="E14" s="33" t="str">
        <f>IF(C14=" "," ",HLOOKUP($R$3,birth,8,1))</f>
        <v>22 October 2001</v>
      </c>
      <c r="F14" s="33">
        <f>IF(C14=" "," ",'Marking Page'!D15)</f>
        <v>0</v>
      </c>
      <c r="G14" s="33">
        <f>IF(D14=" "," ",'Marking Page'!E15)</f>
        <v>0</v>
      </c>
      <c r="H14" s="33">
        <f>IF(E14=" "," ",'Marking Page'!F15)</f>
        <v>0</v>
      </c>
      <c r="I14" s="33">
        <f>IF(F14=" "," ",'Marking Page'!G15)</f>
        <v>0</v>
      </c>
      <c r="J14" s="33">
        <f>IF(G14=" "," ",'Marking Page'!H15)</f>
        <v>0</v>
      </c>
      <c r="K14" s="33">
        <f>IF(H14=" "," ",'Marking Page'!I15)</f>
        <v>0</v>
      </c>
      <c r="L14" s="33">
        <f>IF(I14=" "," ",'Marking Page'!J15)</f>
        <v>0</v>
      </c>
      <c r="M14" s="33">
        <f>IF(J14=" "," ",'Marking Page'!K15)</f>
        <v>0</v>
      </c>
      <c r="N14" s="33">
        <f>IF(K14=" "," ",'Marking Page'!L15)</f>
        <v>0</v>
      </c>
      <c r="O14" s="33">
        <f>IF(L14=" "," ",'Marking Page'!M15)</f>
        <v>0</v>
      </c>
      <c r="P14" s="33">
        <f>IF(M14=" "," ",'Marking Page'!N15)</f>
        <v>0</v>
      </c>
      <c r="Q14" s="33">
        <f>IF(M14=" "," ",'Marking Page'!O15)</f>
        <v>0</v>
      </c>
      <c r="R14" s="33">
        <f>IF(N14=" "," ",'Marking Page'!P15)</f>
        <v>0</v>
      </c>
      <c r="S14" s="9">
        <f>'Marking Page'!V15</f>
        <v>0</v>
      </c>
      <c r="T14" s="36" t="str">
        <f t="shared" si="0"/>
        <v>Mandarin (Intermediate)</v>
      </c>
    </row>
    <row r="15" spans="1:20" x14ac:dyDescent="0.25">
      <c r="A15" s="17">
        <f>'Marking Page'!A16</f>
        <v>8</v>
      </c>
      <c r="B15" s="33" t="str">
        <f>'Marking Page'!B16</f>
        <v>622/0020653207</v>
      </c>
      <c r="C15" s="38" t="str">
        <f>'Marking Page'!C16</f>
        <v>JOCELYN IVANA</v>
      </c>
      <c r="D15" s="33" t="str">
        <f>IF(C15=" "," ",HLOOKUP($R$3,gender,9,1))</f>
        <v>F</v>
      </c>
      <c r="E15" s="33" t="str">
        <f>IF(C15=" "," ",HLOOKUP($R$3,birth,9,1))</f>
        <v>14 September 2002</v>
      </c>
      <c r="F15" s="33">
        <f>IF(C15=" "," ",'Marking Page'!D16)</f>
        <v>0</v>
      </c>
      <c r="G15" s="33">
        <f>IF(D15=" "," ",'Marking Page'!E16)</f>
        <v>0</v>
      </c>
      <c r="H15" s="33">
        <f>IF(E15=" "," ",'Marking Page'!F16)</f>
        <v>0</v>
      </c>
      <c r="I15" s="33">
        <f>IF(F15=" "," ",'Marking Page'!G16)</f>
        <v>0</v>
      </c>
      <c r="J15" s="33">
        <f>IF(G15=" "," ",'Marking Page'!H16)</f>
        <v>0</v>
      </c>
      <c r="K15" s="33">
        <f>IF(H15=" "," ",'Marking Page'!I16)</f>
        <v>0</v>
      </c>
      <c r="L15" s="33">
        <f>IF(I15=" "," ",'Marking Page'!J16)</f>
        <v>0</v>
      </c>
      <c r="M15" s="33">
        <f>IF(J15=" "," ",'Marking Page'!K16)</f>
        <v>0</v>
      </c>
      <c r="N15" s="33">
        <f>IF(K15=" "," ",'Marking Page'!L16)</f>
        <v>0</v>
      </c>
      <c r="O15" s="33">
        <f>IF(L15=" "," ",'Marking Page'!M16)</f>
        <v>0</v>
      </c>
      <c r="P15" s="33">
        <f>IF(M15=" "," ",'Marking Page'!N16)</f>
        <v>0</v>
      </c>
      <c r="Q15" s="33">
        <f>IF(M15=" "," ",'Marking Page'!O16)</f>
        <v>0</v>
      </c>
      <c r="R15" s="33">
        <f>IF(N15=" "," ",'Marking Page'!P16)</f>
        <v>0</v>
      </c>
      <c r="S15" s="9" t="str">
        <f>'Marking Page'!V16</f>
        <v>B</v>
      </c>
      <c r="T15" s="36" t="str">
        <f t="shared" si="0"/>
        <v>Mandarin (Basic)</v>
      </c>
    </row>
    <row r="16" spans="1:20" x14ac:dyDescent="0.25">
      <c r="A16" s="17">
        <f>'Marking Page'!A17</f>
        <v>9</v>
      </c>
      <c r="B16" s="33" t="str">
        <f>'Marking Page'!B17</f>
        <v>627/0023094483</v>
      </c>
      <c r="C16" s="38" t="str">
        <f>'Marking Page'!C17</f>
        <v>JOSHUA IMMANUEL ROCHILLI</v>
      </c>
      <c r="D16" s="33" t="str">
        <f>IF(C16=" "," ",HLOOKUP($R$3,gender,10,1))</f>
        <v>M</v>
      </c>
      <c r="E16" s="33" t="str">
        <f>IF(C16=" "," ",HLOOKUP($R$3,birth,10,1))</f>
        <v>14 August 2002</v>
      </c>
      <c r="F16" s="33">
        <f>IF(C16=" "," ",'Marking Page'!D17)</f>
        <v>0</v>
      </c>
      <c r="G16" s="33">
        <f>IF(D16=" "," ",'Marking Page'!E17)</f>
        <v>0</v>
      </c>
      <c r="H16" s="33">
        <f>IF(E16=" "," ",'Marking Page'!F17)</f>
        <v>0</v>
      </c>
      <c r="I16" s="33">
        <f>IF(F16=" "," ",'Marking Page'!G17)</f>
        <v>0</v>
      </c>
      <c r="J16" s="33">
        <f>IF(G16=" "," ",'Marking Page'!H17)</f>
        <v>0</v>
      </c>
      <c r="K16" s="33">
        <f>IF(H16=" "," ",'Marking Page'!I17)</f>
        <v>0</v>
      </c>
      <c r="L16" s="33">
        <f>IF(I16=" "," ",'Marking Page'!J17)</f>
        <v>0</v>
      </c>
      <c r="M16" s="33">
        <f>IF(J16=" "," ",'Marking Page'!K17)</f>
        <v>0</v>
      </c>
      <c r="N16" s="33">
        <f>IF(K16=" "," ",'Marking Page'!L17)</f>
        <v>0</v>
      </c>
      <c r="O16" s="33">
        <f>IF(L16=" "," ",'Marking Page'!M17)</f>
        <v>0</v>
      </c>
      <c r="P16" s="33">
        <f>IF(M16=" "," ",'Marking Page'!N17)</f>
        <v>0</v>
      </c>
      <c r="Q16" s="33">
        <f>IF(M16=" "," ",'Marking Page'!O17)</f>
        <v>0</v>
      </c>
      <c r="R16" s="33">
        <f>IF(N16=" "," ",'Marking Page'!P17)</f>
        <v>0</v>
      </c>
      <c r="S16" s="9" t="str">
        <f>'Marking Page'!V17</f>
        <v>B</v>
      </c>
      <c r="T16" s="36" t="str">
        <f t="shared" si="0"/>
        <v>Mandarin (Basic)</v>
      </c>
    </row>
    <row r="17" spans="1:20" x14ac:dyDescent="0.25">
      <c r="A17" s="17">
        <f>'Marking Page'!A18</f>
        <v>10</v>
      </c>
      <c r="B17" s="33" t="str">
        <f>'Marking Page'!B18</f>
        <v>629/0023094214</v>
      </c>
      <c r="C17" s="38" t="str">
        <f>'Marking Page'!C18</f>
        <v>KEZIA CHRISTABELA LAKSONO</v>
      </c>
      <c r="D17" s="33" t="str">
        <f>IF(C17=" "," ",HLOOKUP($R$3,gender,11,1))</f>
        <v>F</v>
      </c>
      <c r="E17" s="33" t="str">
        <f>IF(C17=" "," ",HLOOKUP($R$3,birth,11,1))</f>
        <v>3 February 2002</v>
      </c>
      <c r="F17" s="33">
        <f>IF(C17=" "," ",'Marking Page'!D18)</f>
        <v>0</v>
      </c>
      <c r="G17" s="33">
        <f>IF(D17=" "," ",'Marking Page'!E18)</f>
        <v>0</v>
      </c>
      <c r="H17" s="33">
        <f>IF(E17=" "," ",'Marking Page'!F18)</f>
        <v>0</v>
      </c>
      <c r="I17" s="33">
        <f>IF(F17=" "," ",'Marking Page'!G18)</f>
        <v>0</v>
      </c>
      <c r="J17" s="33">
        <f>IF(G17=" "," ",'Marking Page'!H18)</f>
        <v>0</v>
      </c>
      <c r="K17" s="33">
        <f>IF(H17=" "," ",'Marking Page'!I18)</f>
        <v>0</v>
      </c>
      <c r="L17" s="33">
        <f>IF(I17=" "," ",'Marking Page'!J18)</f>
        <v>0</v>
      </c>
      <c r="M17" s="33">
        <f>IF(J17=" "," ",'Marking Page'!K18)</f>
        <v>0</v>
      </c>
      <c r="N17" s="33">
        <f>IF(K17=" "," ",'Marking Page'!L18)</f>
        <v>0</v>
      </c>
      <c r="O17" s="33">
        <f>IF(L17=" "," ",'Marking Page'!M18)</f>
        <v>0</v>
      </c>
      <c r="P17" s="33">
        <f>IF(M17=" "," ",'Marking Page'!N18)</f>
        <v>0</v>
      </c>
      <c r="Q17" s="33">
        <f>IF(M17=" "," ",'Marking Page'!O18)</f>
        <v>0</v>
      </c>
      <c r="R17" s="33">
        <f>IF(N17=" "," ",'Marking Page'!P18)</f>
        <v>0</v>
      </c>
      <c r="S17" s="9">
        <f>'Marking Page'!V18</f>
        <v>0</v>
      </c>
      <c r="T17" s="36" t="str">
        <f t="shared" si="0"/>
        <v>Mandarin (Intermediate)</v>
      </c>
    </row>
    <row r="18" spans="1:20" x14ac:dyDescent="0.25">
      <c r="A18" s="17">
        <f>'Marking Page'!A19</f>
        <v>11</v>
      </c>
      <c r="B18" s="33" t="str">
        <f>'Marking Page'!B19</f>
        <v>635/0023094459</v>
      </c>
      <c r="C18" s="38" t="str">
        <f>'Marking Page'!C19</f>
        <v>MATTHEW CLERENCE LIEGO</v>
      </c>
      <c r="D18" s="33" t="str">
        <f>IF(C18=" "," ",HLOOKUP($R$3,gender,12,1))</f>
        <v>M</v>
      </c>
      <c r="E18" s="33" t="str">
        <f>IF(C18=" "," ",HLOOKUP($R$3,birth,12,1))</f>
        <v>7 May 2002</v>
      </c>
      <c r="F18" s="33">
        <f>IF(C18=" "," ",'Marking Page'!D19)</f>
        <v>0</v>
      </c>
      <c r="G18" s="33">
        <f>IF(D18=" "," ",'Marking Page'!E19)</f>
        <v>0</v>
      </c>
      <c r="H18" s="33">
        <f>IF(E18=" "," ",'Marking Page'!F19)</f>
        <v>0</v>
      </c>
      <c r="I18" s="33">
        <f>IF(F18=" "," ",'Marking Page'!G19)</f>
        <v>0</v>
      </c>
      <c r="J18" s="33">
        <f>IF(G18=" "," ",'Marking Page'!H19)</f>
        <v>0</v>
      </c>
      <c r="K18" s="33">
        <f>IF(H18=" "," ",'Marking Page'!I19)</f>
        <v>0</v>
      </c>
      <c r="L18" s="33">
        <f>IF(I18=" "," ",'Marking Page'!J19)</f>
        <v>0</v>
      </c>
      <c r="M18" s="33">
        <f>IF(J18=" "," ",'Marking Page'!K19)</f>
        <v>0</v>
      </c>
      <c r="N18" s="33">
        <f>IF(K18=" "," ",'Marking Page'!L19)</f>
        <v>0</v>
      </c>
      <c r="O18" s="33">
        <f>IF(L18=" "," ",'Marking Page'!M19)</f>
        <v>0</v>
      </c>
      <c r="P18" s="33">
        <f>IF(M18=" "," ",'Marking Page'!N19)</f>
        <v>0</v>
      </c>
      <c r="Q18" s="33">
        <f>IF(M18=" "," ",'Marking Page'!O19)</f>
        <v>0</v>
      </c>
      <c r="R18" s="33">
        <f>IF(N18=" "," ",'Marking Page'!P19)</f>
        <v>0</v>
      </c>
      <c r="S18" s="9" t="str">
        <f>'Marking Page'!V19</f>
        <v>B</v>
      </c>
      <c r="T18" s="36" t="str">
        <f t="shared" si="0"/>
        <v>Mandarin (Basic)</v>
      </c>
    </row>
    <row r="19" spans="1:20" x14ac:dyDescent="0.25">
      <c r="A19" s="17">
        <f>'Marking Page'!A20</f>
        <v>12</v>
      </c>
      <c r="B19" s="33" t="str">
        <f>'Marking Page'!B20</f>
        <v>641/0023094455</v>
      </c>
      <c r="C19" s="38" t="str">
        <f>'Marking Page'!C20</f>
        <v>MICHAEL ANTONIO BOENTORO</v>
      </c>
      <c r="D19" s="33" t="str">
        <f>IF(C19=" "," ",HLOOKUP($R$3,gender,13,1))</f>
        <v>M</v>
      </c>
      <c r="E19" s="33" t="str">
        <f>IF(C19=" "," ",HLOOKUP($R$3,birth,13,1))</f>
        <v>25 April 2002</v>
      </c>
      <c r="F19" s="33">
        <f>IF(C19=" "," ",'Marking Page'!D20)</f>
        <v>0</v>
      </c>
      <c r="G19" s="33">
        <f>IF(D19=" "," ",'Marking Page'!E20)</f>
        <v>0</v>
      </c>
      <c r="H19" s="33">
        <f>IF(E19=" "," ",'Marking Page'!F20)</f>
        <v>0</v>
      </c>
      <c r="I19" s="33">
        <f>IF(F19=" "," ",'Marking Page'!G20)</f>
        <v>0</v>
      </c>
      <c r="J19" s="33">
        <f>IF(G19=" "," ",'Marking Page'!H20)</f>
        <v>0</v>
      </c>
      <c r="K19" s="33">
        <f>IF(H19=" "," ",'Marking Page'!I20)</f>
        <v>0</v>
      </c>
      <c r="L19" s="33">
        <f>IF(I19=" "," ",'Marking Page'!J20)</f>
        <v>0</v>
      </c>
      <c r="M19" s="33">
        <f>IF(J19=" "," ",'Marking Page'!K20)</f>
        <v>0</v>
      </c>
      <c r="N19" s="33">
        <f>IF(K19=" "," ",'Marking Page'!L20)</f>
        <v>0</v>
      </c>
      <c r="O19" s="33">
        <f>IF(L19=" "," ",'Marking Page'!M20)</f>
        <v>0</v>
      </c>
      <c r="P19" s="33">
        <f>IF(M19=" "," ",'Marking Page'!N20)</f>
        <v>0</v>
      </c>
      <c r="Q19" s="33">
        <f>IF(M19=" "," ",'Marking Page'!O20)</f>
        <v>0</v>
      </c>
      <c r="R19" s="33">
        <f>IF(N19=" "," ",'Marking Page'!P20)</f>
        <v>0</v>
      </c>
      <c r="S19" s="9">
        <f>'Marking Page'!V20</f>
        <v>0</v>
      </c>
      <c r="T19" s="36" t="str">
        <f t="shared" si="0"/>
        <v>Mandarin (Intermediate)</v>
      </c>
    </row>
    <row r="20" spans="1:20" x14ac:dyDescent="0.25">
      <c r="A20" s="17">
        <f>'Marking Page'!A21</f>
        <v>13</v>
      </c>
      <c r="B20" s="33" t="str">
        <f>'Marking Page'!B21</f>
        <v>644/0025273819</v>
      </c>
      <c r="C20" s="38" t="str">
        <f>'Marking Page'!C21</f>
        <v>NADIA</v>
      </c>
      <c r="D20" s="33" t="str">
        <f>IF(C20=" "," ",HLOOKUP($R$3,gender,14,1))</f>
        <v>F</v>
      </c>
      <c r="E20" s="33" t="str">
        <f>IF(C20=" "," ",HLOOKUP($R$3,birth,14,1))</f>
        <v>18 June 2002</v>
      </c>
      <c r="F20" s="33">
        <f>IF(C20=" "," ",'Marking Page'!D21)</f>
        <v>0</v>
      </c>
      <c r="G20" s="33">
        <f>IF(D20=" "," ",'Marking Page'!E21)</f>
        <v>0</v>
      </c>
      <c r="H20" s="33">
        <f>IF(E20=" "," ",'Marking Page'!F21)</f>
        <v>0</v>
      </c>
      <c r="I20" s="33">
        <f>IF(F20=" "," ",'Marking Page'!G21)</f>
        <v>0</v>
      </c>
      <c r="J20" s="33">
        <f>IF(G20=" "," ",'Marking Page'!H21)</f>
        <v>0</v>
      </c>
      <c r="K20" s="33">
        <f>IF(H20=" "," ",'Marking Page'!I21)</f>
        <v>0</v>
      </c>
      <c r="L20" s="33">
        <f>IF(I20=" "," ",'Marking Page'!J21)</f>
        <v>0</v>
      </c>
      <c r="M20" s="33">
        <f>IF(J20=" "," ",'Marking Page'!K21)</f>
        <v>0</v>
      </c>
      <c r="N20" s="33">
        <f>IF(K20=" "," ",'Marking Page'!L21)</f>
        <v>0</v>
      </c>
      <c r="O20" s="33">
        <f>IF(L20=" "," ",'Marking Page'!M21)</f>
        <v>0</v>
      </c>
      <c r="P20" s="33">
        <f>IF(M20=" "," ",'Marking Page'!N21)</f>
        <v>0</v>
      </c>
      <c r="Q20" s="33">
        <f>IF(M20=" "," ",'Marking Page'!O21)</f>
        <v>0</v>
      </c>
      <c r="R20" s="33">
        <f>IF(N20=" "," ",'Marking Page'!P21)</f>
        <v>0</v>
      </c>
      <c r="S20" s="9">
        <f>'Marking Page'!V21</f>
        <v>0</v>
      </c>
      <c r="T20" s="36" t="str">
        <f t="shared" si="0"/>
        <v>Mandarin (Intermediate)</v>
      </c>
    </row>
    <row r="21" spans="1:20" x14ac:dyDescent="0.25">
      <c r="A21" s="17">
        <f>'Marking Page'!A22</f>
        <v>14</v>
      </c>
      <c r="B21" s="33" t="str">
        <f>'Marking Page'!B22</f>
        <v>646/0023094503</v>
      </c>
      <c r="C21" s="38" t="str">
        <f>'Marking Page'!C22</f>
        <v>NATHANIA BERNICE</v>
      </c>
      <c r="D21" s="33" t="str">
        <f>IF(C21=" "," ",HLOOKUP($R$3,gender,15,1))</f>
        <v>F</v>
      </c>
      <c r="E21" s="33" t="str">
        <f>IF(C21=" "," ",HLOOKUP($R$3,birth,15,1))</f>
        <v>16 December 2002</v>
      </c>
      <c r="F21" s="33">
        <f>IF(C21=" "," ",'Marking Page'!D22)</f>
        <v>0</v>
      </c>
      <c r="G21" s="33">
        <f>IF(D21=" "," ",'Marking Page'!E22)</f>
        <v>0</v>
      </c>
      <c r="H21" s="33">
        <f>IF(E21=" "," ",'Marking Page'!F22)</f>
        <v>0</v>
      </c>
      <c r="I21" s="33">
        <f>IF(F21=" "," ",'Marking Page'!G22)</f>
        <v>0</v>
      </c>
      <c r="J21" s="33">
        <f>IF(G21=" "," ",'Marking Page'!H22)</f>
        <v>0</v>
      </c>
      <c r="K21" s="33">
        <f>IF(H21=" "," ",'Marking Page'!I22)</f>
        <v>0</v>
      </c>
      <c r="L21" s="33">
        <f>IF(I21=" "," ",'Marking Page'!J22)</f>
        <v>0</v>
      </c>
      <c r="M21" s="33">
        <f>IF(J21=" "," ",'Marking Page'!K22)</f>
        <v>0</v>
      </c>
      <c r="N21" s="33">
        <f>IF(K21=" "," ",'Marking Page'!L22)</f>
        <v>0</v>
      </c>
      <c r="O21" s="33">
        <f>IF(L21=" "," ",'Marking Page'!M22)</f>
        <v>0</v>
      </c>
      <c r="P21" s="33">
        <f>IF(M21=" "," ",'Marking Page'!N22)</f>
        <v>0</v>
      </c>
      <c r="Q21" s="33">
        <f>IF(M21=" "," ",'Marking Page'!O22)</f>
        <v>0</v>
      </c>
      <c r="R21" s="33">
        <f>IF(N21=" "," ",'Marking Page'!P22)</f>
        <v>0</v>
      </c>
      <c r="S21" s="9">
        <f>'Marking Page'!V22</f>
        <v>0</v>
      </c>
      <c r="T21" s="36" t="str">
        <f t="shared" si="0"/>
        <v>Mandarin (Intermediate)</v>
      </c>
    </row>
    <row r="22" spans="1:20" x14ac:dyDescent="0.25">
      <c r="A22" s="17">
        <f>'Marking Page'!A23</f>
        <v>15</v>
      </c>
      <c r="B22" s="33" t="str">
        <f>'Marking Page'!B23</f>
        <v>650/0016158284</v>
      </c>
      <c r="C22" s="38" t="str">
        <f>'Marking Page'!C23</f>
        <v>SALYVANA KRISANTO</v>
      </c>
      <c r="D22" s="33" t="str">
        <f>IF(C22=" "," ",HLOOKUP($R$3,gender,16,1))</f>
        <v>F</v>
      </c>
      <c r="E22" s="33" t="str">
        <f>IF(C22=" "," ",HLOOKUP($R$3,birth,16,1))</f>
        <v>2 December 2001</v>
      </c>
      <c r="F22" s="33">
        <f>IF(C22=" "," ",'Marking Page'!D23)</f>
        <v>0</v>
      </c>
      <c r="G22" s="33">
        <f>IF(D22=" "," ",'Marking Page'!E23)</f>
        <v>0</v>
      </c>
      <c r="H22" s="33">
        <f>IF(E22=" "," ",'Marking Page'!F23)</f>
        <v>0</v>
      </c>
      <c r="I22" s="33">
        <f>IF(F22=" "," ",'Marking Page'!G23)</f>
        <v>0</v>
      </c>
      <c r="J22" s="33">
        <f>IF(G22=" "," ",'Marking Page'!H23)</f>
        <v>0</v>
      </c>
      <c r="K22" s="33">
        <f>IF(H22=" "," ",'Marking Page'!I23)</f>
        <v>0</v>
      </c>
      <c r="L22" s="33">
        <f>IF(I22=" "," ",'Marking Page'!J23)</f>
        <v>0</v>
      </c>
      <c r="M22" s="33">
        <f>IF(J22=" "," ",'Marking Page'!K23)</f>
        <v>0</v>
      </c>
      <c r="N22" s="33">
        <f>IF(K22=" "," ",'Marking Page'!L23)</f>
        <v>0</v>
      </c>
      <c r="O22" s="33">
        <f>IF(L22=" "," ",'Marking Page'!M23)</f>
        <v>0</v>
      </c>
      <c r="P22" s="33">
        <f>IF(M22=" "," ",'Marking Page'!N23)</f>
        <v>0</v>
      </c>
      <c r="Q22" s="33">
        <f>IF(M22=" "," ",'Marking Page'!O23)</f>
        <v>0</v>
      </c>
      <c r="R22" s="33">
        <f>IF(N22=" "," ",'Marking Page'!P23)</f>
        <v>0</v>
      </c>
      <c r="S22" s="9" t="str">
        <f>'Marking Page'!V23</f>
        <v>B</v>
      </c>
      <c r="T22" s="36" t="str">
        <f t="shared" si="0"/>
        <v>Mandarin (Basic)</v>
      </c>
    </row>
    <row r="23" spans="1:20" x14ac:dyDescent="0.25">
      <c r="A23" s="17">
        <f>'Marking Page'!A24</f>
        <v>16</v>
      </c>
      <c r="B23" s="33" t="str">
        <f>'Marking Page'!B24</f>
        <v>651/0016055018</v>
      </c>
      <c r="C23" s="38" t="str">
        <f>'Marking Page'!C24</f>
        <v>SAMUEL AGUSTO</v>
      </c>
      <c r="D23" s="33" t="str">
        <f>IF(C23=" "," ",HLOOKUP($R$3,gender,17,1))</f>
        <v>M</v>
      </c>
      <c r="E23" s="33" t="str">
        <f>IF(C23=" "," ",HLOOKUP($R$3,birth,17,1))</f>
        <v>26 February 2001</v>
      </c>
      <c r="F23" s="33">
        <f>IF(C23=" "," ",'Marking Page'!D24)</f>
        <v>0</v>
      </c>
      <c r="G23" s="33">
        <f>IF(D23=" "," ",'Marking Page'!E24)</f>
        <v>0</v>
      </c>
      <c r="H23" s="33">
        <f>IF(E23=" "," ",'Marking Page'!F24)</f>
        <v>0</v>
      </c>
      <c r="I23" s="33">
        <f>IF(F23=" "," ",'Marking Page'!G24)</f>
        <v>0</v>
      </c>
      <c r="J23" s="33">
        <f>IF(G23=" "," ",'Marking Page'!H24)</f>
        <v>0</v>
      </c>
      <c r="K23" s="33">
        <f>IF(H23=" "," ",'Marking Page'!I24)</f>
        <v>0</v>
      </c>
      <c r="L23" s="33">
        <f>IF(I23=" "," ",'Marking Page'!J24)</f>
        <v>0</v>
      </c>
      <c r="M23" s="33">
        <f>IF(J23=" "," ",'Marking Page'!K24)</f>
        <v>0</v>
      </c>
      <c r="N23" s="33">
        <f>IF(K23=" "," ",'Marking Page'!L24)</f>
        <v>0</v>
      </c>
      <c r="O23" s="33">
        <f>IF(L23=" "," ",'Marking Page'!M24)</f>
        <v>0</v>
      </c>
      <c r="P23" s="33">
        <f>IF(M23=" "," ",'Marking Page'!N24)</f>
        <v>0</v>
      </c>
      <c r="Q23" s="33">
        <f>IF(M23=" "," ",'Marking Page'!O24)</f>
        <v>0</v>
      </c>
      <c r="R23" s="33">
        <f>IF(N23=" "," ",'Marking Page'!P24)</f>
        <v>0</v>
      </c>
      <c r="S23" s="9" t="str">
        <f>'Marking Page'!V24</f>
        <v>B</v>
      </c>
      <c r="T23" s="36" t="str">
        <f t="shared" si="0"/>
        <v>Mandarin (Basic)</v>
      </c>
    </row>
    <row r="24" spans="1:20" x14ac:dyDescent="0.25">
      <c r="A24" s="17">
        <f>'Marking Page'!A25</f>
        <v>17</v>
      </c>
      <c r="B24" s="33" t="str">
        <f>'Marking Page'!B25</f>
        <v>654/0023094448</v>
      </c>
      <c r="C24" s="38" t="str">
        <f>'Marking Page'!C25</f>
        <v>SHANIKA IVERNA TAMARA</v>
      </c>
      <c r="D24" s="33" t="str">
        <f>IF(C24=" "," ",HLOOKUP($R$3,gender,18,1))</f>
        <v>F</v>
      </c>
      <c r="E24" s="33" t="str">
        <f>IF(C24=" "," ",HLOOKUP($R$3,birth,18,1))</f>
        <v>3 March 2003</v>
      </c>
      <c r="F24" s="33">
        <f>IF(C24=" "," ",'Marking Page'!D25)</f>
        <v>0</v>
      </c>
      <c r="G24" s="33">
        <f>IF(D24=" "," ",'Marking Page'!E25)</f>
        <v>0</v>
      </c>
      <c r="H24" s="33">
        <f>IF(E24=" "," ",'Marking Page'!F25)</f>
        <v>0</v>
      </c>
      <c r="I24" s="33">
        <f>IF(F24=" "," ",'Marking Page'!G25)</f>
        <v>0</v>
      </c>
      <c r="J24" s="33">
        <f>IF(G24=" "," ",'Marking Page'!H25)</f>
        <v>0</v>
      </c>
      <c r="K24" s="33">
        <f>IF(H24=" "," ",'Marking Page'!I25)</f>
        <v>0</v>
      </c>
      <c r="L24" s="33">
        <f>IF(I24=" "," ",'Marking Page'!J25)</f>
        <v>0</v>
      </c>
      <c r="M24" s="33">
        <f>IF(J24=" "," ",'Marking Page'!K25)</f>
        <v>0</v>
      </c>
      <c r="N24" s="33">
        <f>IF(K24=" "," ",'Marking Page'!L25)</f>
        <v>0</v>
      </c>
      <c r="O24" s="33">
        <f>IF(L24=" "," ",'Marking Page'!M25)</f>
        <v>0</v>
      </c>
      <c r="P24" s="33">
        <f>IF(M24=" "," ",'Marking Page'!N25)</f>
        <v>0</v>
      </c>
      <c r="Q24" s="33">
        <f>IF(M24=" "," ",'Marking Page'!O25)</f>
        <v>0</v>
      </c>
      <c r="R24" s="33">
        <f>IF(N24=" "," ",'Marking Page'!P25)</f>
        <v>0</v>
      </c>
      <c r="S24" s="9">
        <f>'Marking Page'!V25</f>
        <v>0</v>
      </c>
      <c r="T24" s="36" t="str">
        <f t="shared" si="0"/>
        <v>Mandarin (Intermediate)</v>
      </c>
    </row>
    <row r="25" spans="1:20" x14ac:dyDescent="0.25">
      <c r="A25" s="17">
        <f>'Marking Page'!A26</f>
        <v>18</v>
      </c>
      <c r="B25" s="33" t="str">
        <f>'Marking Page'!B26</f>
        <v>657/0020750427</v>
      </c>
      <c r="C25" s="38" t="str">
        <f>'Marking Page'!C26</f>
        <v>TASHA LAURETTA</v>
      </c>
      <c r="D25" s="33" t="str">
        <f>IF(C25=" "," ",HLOOKUP($R$3,gender,19,1))</f>
        <v>F</v>
      </c>
      <c r="E25" s="33" t="str">
        <f>IF(C25=" "," ",HLOOKUP($R$3,birth,19,1))</f>
        <v>24 June 2002</v>
      </c>
      <c r="F25" s="33">
        <f>IF(C25=" "," ",'Marking Page'!D26)</f>
        <v>0</v>
      </c>
      <c r="G25" s="33">
        <f>IF(D25=" "," ",'Marking Page'!E26)</f>
        <v>0</v>
      </c>
      <c r="H25" s="33">
        <f>IF(E25=" "," ",'Marking Page'!F26)</f>
        <v>0</v>
      </c>
      <c r="I25" s="33">
        <f>IF(F25=" "," ",'Marking Page'!G26)</f>
        <v>0</v>
      </c>
      <c r="J25" s="33">
        <f>IF(G25=" "," ",'Marking Page'!H26)</f>
        <v>0</v>
      </c>
      <c r="K25" s="33">
        <f>IF(H25=" "," ",'Marking Page'!I26)</f>
        <v>0</v>
      </c>
      <c r="L25" s="33">
        <f>IF(I25=" "," ",'Marking Page'!J26)</f>
        <v>0</v>
      </c>
      <c r="M25" s="33">
        <f>IF(J25=" "," ",'Marking Page'!K26)</f>
        <v>0</v>
      </c>
      <c r="N25" s="33">
        <f>IF(K25=" "," ",'Marking Page'!L26)</f>
        <v>0</v>
      </c>
      <c r="O25" s="33">
        <f>IF(L25=" "," ",'Marking Page'!M26)</f>
        <v>0</v>
      </c>
      <c r="P25" s="33">
        <f>IF(M25=" "," ",'Marking Page'!N26)</f>
        <v>0</v>
      </c>
      <c r="Q25" s="33">
        <f>IF(M25=" "," ",'Marking Page'!O26)</f>
        <v>0</v>
      </c>
      <c r="R25" s="33">
        <f>IF(N25=" "," ",'Marking Page'!P26)</f>
        <v>0</v>
      </c>
      <c r="S25" s="9">
        <f>'Marking Page'!V26</f>
        <v>0</v>
      </c>
      <c r="T25" s="36" t="str">
        <f t="shared" si="0"/>
        <v>Mandarin (Intermediate)</v>
      </c>
    </row>
    <row r="26" spans="1:20" x14ac:dyDescent="0.25">
      <c r="A26" s="17">
        <f>'Marking Page'!A27</f>
        <v>19</v>
      </c>
      <c r="B26" s="33" t="str">
        <f>'Marking Page'!B27</f>
        <v>627/0023094483</v>
      </c>
      <c r="C26" s="38" t="str">
        <f>'Marking Page'!C27</f>
        <v>TIMOTHY FARREL TJONDROJO</v>
      </c>
      <c r="D26" s="33" t="str">
        <f>IF(C26=" "," ",HLOOKUP($R$3,gender,20,1))</f>
        <v>M</v>
      </c>
      <c r="E26" s="33" t="str">
        <f>IF(C26=" "," ",HLOOKUP($R$3,birth,20,1))</f>
        <v>30 May 2002</v>
      </c>
      <c r="F26" s="33">
        <f>IF(C26=" "," ",'Marking Page'!D27)</f>
        <v>0</v>
      </c>
      <c r="G26" s="33">
        <f>IF(D26=" "," ",'Marking Page'!E27)</f>
        <v>0</v>
      </c>
      <c r="H26" s="33">
        <f>IF(E26=" "," ",'Marking Page'!F27)</f>
        <v>0</v>
      </c>
      <c r="I26" s="33">
        <f>IF(F26=" "," ",'Marking Page'!G27)</f>
        <v>0</v>
      </c>
      <c r="J26" s="33">
        <f>IF(G26=" "," ",'Marking Page'!H27)</f>
        <v>0</v>
      </c>
      <c r="K26" s="33">
        <f>IF(H26=" "," ",'Marking Page'!I27)</f>
        <v>0</v>
      </c>
      <c r="L26" s="33">
        <f>IF(I26=" "," ",'Marking Page'!J27)</f>
        <v>0</v>
      </c>
      <c r="M26" s="33">
        <f>IF(J26=" "," ",'Marking Page'!K27)</f>
        <v>0</v>
      </c>
      <c r="N26" s="33">
        <f>IF(K26=" "," ",'Marking Page'!L27)</f>
        <v>0</v>
      </c>
      <c r="O26" s="33">
        <f>IF(L26=" "," ",'Marking Page'!M27)</f>
        <v>0</v>
      </c>
      <c r="P26" s="33">
        <f>IF(M26=" "," ",'Marking Page'!N27)</f>
        <v>0</v>
      </c>
      <c r="Q26" s="33">
        <f>IF(M26=" "," ",'Marking Page'!O27)</f>
        <v>0</v>
      </c>
      <c r="R26" s="33">
        <f>IF(N26=" "," ",'Marking Page'!P27)</f>
        <v>0</v>
      </c>
      <c r="S26" s="9" t="str">
        <f>'Marking Page'!V27</f>
        <v>B</v>
      </c>
      <c r="T26" s="36" t="str">
        <f t="shared" si="0"/>
        <v>Mandarin (Basic)</v>
      </c>
    </row>
    <row r="27" spans="1:20" x14ac:dyDescent="0.25">
      <c r="A27" s="17">
        <f>'Marking Page'!A28</f>
        <v>20</v>
      </c>
      <c r="B27" s="33" t="str">
        <f>'Marking Page'!B28</f>
        <v>663/0024195587</v>
      </c>
      <c r="C27" s="38" t="str">
        <f>'Marking Page'!C28</f>
        <v>YASMIN ANGGRAINI TEGUH</v>
      </c>
      <c r="D27" s="33" t="str">
        <f>IF(C27=" "," ",HLOOKUP($R$3,gender,21,1))</f>
        <v>F</v>
      </c>
      <c r="E27" s="33" t="str">
        <f>IF(C27=" "," ",HLOOKUP($R$3,birth,21,1))</f>
        <v>4 February 2002</v>
      </c>
      <c r="F27" s="33">
        <f>IF(C27=" "," ",'Marking Page'!D28)</f>
        <v>0</v>
      </c>
      <c r="G27" s="33">
        <f>IF(D27=" "," ",'Marking Page'!E28)</f>
        <v>0</v>
      </c>
      <c r="H27" s="33">
        <f>IF(E27=" "," ",'Marking Page'!F28)</f>
        <v>0</v>
      </c>
      <c r="I27" s="33">
        <f>IF(F27=" "," ",'Marking Page'!G28)</f>
        <v>0</v>
      </c>
      <c r="J27" s="33">
        <f>IF(G27=" "," ",'Marking Page'!H28)</f>
        <v>0</v>
      </c>
      <c r="K27" s="33">
        <f>IF(H27=" "," ",'Marking Page'!I28)</f>
        <v>0</v>
      </c>
      <c r="L27" s="33">
        <f>IF(I27=" "," ",'Marking Page'!J28)</f>
        <v>0</v>
      </c>
      <c r="M27" s="33">
        <f>IF(J27=" "," ",'Marking Page'!K28)</f>
        <v>0</v>
      </c>
      <c r="N27" s="33">
        <f>IF(K27=" "," ",'Marking Page'!L28)</f>
        <v>0</v>
      </c>
      <c r="O27" s="33">
        <f>IF(L27=" "," ",'Marking Page'!M28)</f>
        <v>0</v>
      </c>
      <c r="P27" s="33">
        <f>IF(M27=" "," ",'Marking Page'!N28)</f>
        <v>0</v>
      </c>
      <c r="Q27" s="33">
        <f>IF(M27=" "," ",'Marking Page'!O28)</f>
        <v>0</v>
      </c>
      <c r="R27" s="33">
        <f>IF(N27=" "," ",'Marking Page'!P28)</f>
        <v>0</v>
      </c>
      <c r="S27" s="9" t="str">
        <f>'Marking Page'!V28</f>
        <v>B</v>
      </c>
      <c r="T27" s="36" t="str">
        <f t="shared" si="0"/>
        <v>Mandarin (Basic)</v>
      </c>
    </row>
    <row r="28" spans="1:20" x14ac:dyDescent="0.25">
      <c r="A28" s="17" t="str">
        <f>'Marking Page'!A29</f>
        <v xml:space="preserve"> </v>
      </c>
      <c r="B28" s="33" t="str">
        <f>'Marking Page'!B29</f>
        <v xml:space="preserve"> </v>
      </c>
      <c r="C28" s="38" t="str">
        <f>'Marking Page'!C29</f>
        <v xml:space="preserve"> </v>
      </c>
      <c r="D28" s="33" t="str">
        <f>IF(C28=" "," ",HLOOKUP($R$3,gender,22,1))</f>
        <v xml:space="preserve"> </v>
      </c>
      <c r="E28" s="33" t="str">
        <f>IF(C28=" "," ",HLOOKUP($R$3,birth,22,1))</f>
        <v xml:space="preserve"> </v>
      </c>
      <c r="F28" s="33" t="str">
        <f>IF(C28=" "," ",'Marking Page'!D29)</f>
        <v xml:space="preserve"> </v>
      </c>
      <c r="G28" s="33" t="str">
        <f>IF(D28=" "," ",'Marking Page'!E29)</f>
        <v xml:space="preserve"> </v>
      </c>
      <c r="H28" s="33" t="str">
        <f>IF(E28=" "," ",'Marking Page'!F29)</f>
        <v xml:space="preserve"> </v>
      </c>
      <c r="I28" s="33" t="str">
        <f>IF(F28=" "," ",'Marking Page'!G29)</f>
        <v xml:space="preserve"> </v>
      </c>
      <c r="J28" s="33" t="str">
        <f>IF(G28=" "," ",'Marking Page'!H29)</f>
        <v xml:space="preserve"> </v>
      </c>
      <c r="K28" s="33" t="str">
        <f>IF(H28=" "," ",'Marking Page'!I29)</f>
        <v xml:space="preserve"> </v>
      </c>
      <c r="L28" s="33" t="str">
        <f>IF(I28=" "," ",'Marking Page'!J29)</f>
        <v xml:space="preserve"> </v>
      </c>
      <c r="M28" s="33" t="str">
        <f>IF(J28=" "," ",'Marking Page'!K29)</f>
        <v xml:space="preserve"> </v>
      </c>
      <c r="N28" s="33" t="str">
        <f>IF(K28=" "," ",'Marking Page'!L29)</f>
        <v xml:space="preserve"> </v>
      </c>
      <c r="O28" s="33" t="str">
        <f>IF(L28=" "," ",'Marking Page'!M29)</f>
        <v xml:space="preserve"> </v>
      </c>
      <c r="P28" s="33" t="str">
        <f>IF(M28=" "," ",'Marking Page'!N29)</f>
        <v xml:space="preserve"> </v>
      </c>
      <c r="Q28" s="33" t="str">
        <f>IF(M28=" "," ",'Marking Page'!O29)</f>
        <v xml:space="preserve"> </v>
      </c>
      <c r="R28" s="33" t="str">
        <f>IF(N28=" "," ",'Marking Page'!P29)</f>
        <v xml:space="preserve"> </v>
      </c>
      <c r="S28" s="9" t="str">
        <f>'Marking Page'!V29</f>
        <v xml:space="preserve"> </v>
      </c>
      <c r="T28" s="36" t="str">
        <f t="shared" si="0"/>
        <v xml:space="preserve"> </v>
      </c>
    </row>
    <row r="29" spans="1:20" x14ac:dyDescent="0.25">
      <c r="A29" s="17" t="str">
        <f>'Marking Page'!A30</f>
        <v xml:space="preserve"> </v>
      </c>
      <c r="B29" s="33" t="str">
        <f>'Marking Page'!B30</f>
        <v xml:space="preserve"> </v>
      </c>
      <c r="C29" s="38" t="str">
        <f>'Marking Page'!C30</f>
        <v xml:space="preserve"> </v>
      </c>
      <c r="D29" s="33" t="str">
        <f>IF(C29=" "," ",HLOOKUP($R$3,gender,23,1))</f>
        <v xml:space="preserve"> </v>
      </c>
      <c r="E29" s="33" t="str">
        <f>IF(C29=" "," ",HLOOKUP($R$3,birth,23,1))</f>
        <v xml:space="preserve"> </v>
      </c>
      <c r="F29" s="33" t="str">
        <f>IF(C29=" "," ",'Marking Page'!D30)</f>
        <v xml:space="preserve"> </v>
      </c>
      <c r="G29" s="33" t="str">
        <f>IF(D29=" "," ",'Marking Page'!E30)</f>
        <v xml:space="preserve"> </v>
      </c>
      <c r="H29" s="33" t="str">
        <f>IF(E29=" "," ",'Marking Page'!F30)</f>
        <v xml:space="preserve"> </v>
      </c>
      <c r="I29" s="33" t="str">
        <f>IF(F29=" "," ",'Marking Page'!G30)</f>
        <v xml:space="preserve"> </v>
      </c>
      <c r="J29" s="33" t="str">
        <f>IF(G29=" "," ",'Marking Page'!H30)</f>
        <v xml:space="preserve"> </v>
      </c>
      <c r="K29" s="33" t="str">
        <f>IF(H29=" "," ",'Marking Page'!I30)</f>
        <v xml:space="preserve"> </v>
      </c>
      <c r="L29" s="33" t="str">
        <f>IF(I29=" "," ",'Marking Page'!J30)</f>
        <v xml:space="preserve"> </v>
      </c>
      <c r="M29" s="33" t="str">
        <f>IF(J29=" "," ",'Marking Page'!K30)</f>
        <v xml:space="preserve"> </v>
      </c>
      <c r="N29" s="33" t="str">
        <f>IF(K29=" "," ",'Marking Page'!L30)</f>
        <v xml:space="preserve"> </v>
      </c>
      <c r="O29" s="33" t="str">
        <f>IF(L29=" "," ",'Marking Page'!M30)</f>
        <v xml:space="preserve"> </v>
      </c>
      <c r="P29" s="33" t="str">
        <f>IF(M29=" "," ",'Marking Page'!N30)</f>
        <v xml:space="preserve"> </v>
      </c>
      <c r="Q29" s="33" t="str">
        <f>IF(M29=" "," ",'Marking Page'!O30)</f>
        <v xml:space="preserve"> </v>
      </c>
      <c r="R29" s="33" t="str">
        <f>IF(N29=" "," ",'Marking Page'!P30)</f>
        <v xml:space="preserve"> </v>
      </c>
      <c r="S29" s="9" t="str">
        <f>'Marking Page'!V30</f>
        <v xml:space="preserve"> </v>
      </c>
      <c r="T29" s="36" t="str">
        <f t="shared" si="0"/>
        <v xml:space="preserve"> </v>
      </c>
    </row>
    <row r="30" spans="1:20" x14ac:dyDescent="0.25">
      <c r="A30" s="17" t="str">
        <f>'Marking Page'!A31</f>
        <v xml:space="preserve"> </v>
      </c>
      <c r="B30" s="33" t="str">
        <f>'Marking Page'!B31</f>
        <v xml:space="preserve"> </v>
      </c>
      <c r="C30" s="38" t="str">
        <f>'Marking Page'!C31</f>
        <v xml:space="preserve"> </v>
      </c>
      <c r="D30" s="33" t="str">
        <f>IF(C30=" "," ",HLOOKUP($R$3,gender,24,1))</f>
        <v xml:space="preserve"> </v>
      </c>
      <c r="E30" s="33" t="str">
        <f>IF(C30=" "," ",HLOOKUP($R$3,birth,24,1))</f>
        <v xml:space="preserve"> </v>
      </c>
      <c r="F30" s="33" t="str">
        <f>IF(C30=" "," ",'Marking Page'!D31)</f>
        <v xml:space="preserve"> </v>
      </c>
      <c r="G30" s="33" t="str">
        <f>IF(D30=" "," ",'Marking Page'!E31)</f>
        <v xml:space="preserve"> </v>
      </c>
      <c r="H30" s="33" t="str">
        <f>IF(E30=" "," ",'Marking Page'!F31)</f>
        <v xml:space="preserve"> </v>
      </c>
      <c r="I30" s="33" t="str">
        <f>IF(F30=" "," ",'Marking Page'!G31)</f>
        <v xml:space="preserve"> </v>
      </c>
      <c r="J30" s="33" t="str">
        <f>IF(G30=" "," ",'Marking Page'!H31)</f>
        <v xml:space="preserve"> </v>
      </c>
      <c r="K30" s="33" t="str">
        <f>IF(H30=" "," ",'Marking Page'!I31)</f>
        <v xml:space="preserve"> </v>
      </c>
      <c r="L30" s="33" t="str">
        <f>IF(I30=" "," ",'Marking Page'!J31)</f>
        <v xml:space="preserve"> </v>
      </c>
      <c r="M30" s="33" t="str">
        <f>IF(J30=" "," ",'Marking Page'!K31)</f>
        <v xml:space="preserve"> </v>
      </c>
      <c r="N30" s="33" t="str">
        <f>IF(K30=" "," ",'Marking Page'!L31)</f>
        <v xml:space="preserve"> </v>
      </c>
      <c r="O30" s="33" t="str">
        <f>IF(L30=" "," ",'Marking Page'!M31)</f>
        <v xml:space="preserve"> </v>
      </c>
      <c r="P30" s="33" t="str">
        <f>IF(M30=" "," ",'Marking Page'!N31)</f>
        <v xml:space="preserve"> </v>
      </c>
      <c r="Q30" s="33" t="str">
        <f>IF(M30=" "," ",'Marking Page'!O31)</f>
        <v xml:space="preserve"> </v>
      </c>
      <c r="R30" s="33" t="str">
        <f>IF(N30=" "," ",'Marking Page'!P31)</f>
        <v xml:space="preserve"> </v>
      </c>
      <c r="S30" s="9" t="str">
        <f>'Marking Page'!V31</f>
        <v xml:space="preserve"> </v>
      </c>
      <c r="T30" s="36" t="str">
        <f t="shared" si="0"/>
        <v xml:space="preserve"> </v>
      </c>
    </row>
    <row r="31" spans="1:20" x14ac:dyDescent="0.25">
      <c r="A31" s="17" t="str">
        <f>'Marking Page'!A32</f>
        <v xml:space="preserve"> </v>
      </c>
      <c r="B31" s="33" t="str">
        <f>'Marking Page'!B32</f>
        <v xml:space="preserve"> </v>
      </c>
      <c r="C31" s="38" t="str">
        <f>'Marking Page'!C32</f>
        <v xml:space="preserve"> </v>
      </c>
      <c r="D31" s="33" t="str">
        <f>IF(C31=" "," ",HLOOKUP($R$3,gender,25,1))</f>
        <v xml:space="preserve"> </v>
      </c>
      <c r="E31" s="33" t="str">
        <f>IF(C31=" "," ",HLOOKUP($R$3,birth,25,1))</f>
        <v xml:space="preserve"> </v>
      </c>
      <c r="F31" s="33" t="str">
        <f>IF(C31=" "," ",'Marking Page'!D32)</f>
        <v xml:space="preserve"> </v>
      </c>
      <c r="G31" s="33" t="str">
        <f>IF(D31=" "," ",'Marking Page'!E32)</f>
        <v xml:space="preserve"> </v>
      </c>
      <c r="H31" s="33" t="str">
        <f>IF(E31=" "," ",'Marking Page'!F32)</f>
        <v xml:space="preserve"> </v>
      </c>
      <c r="I31" s="33" t="str">
        <f>IF(F31=" "," ",'Marking Page'!G32)</f>
        <v xml:space="preserve"> </v>
      </c>
      <c r="J31" s="33" t="str">
        <f>IF(G31=" "," ",'Marking Page'!H32)</f>
        <v xml:space="preserve"> </v>
      </c>
      <c r="K31" s="33" t="str">
        <f>IF(H31=" "," ",'Marking Page'!I32)</f>
        <v xml:space="preserve"> </v>
      </c>
      <c r="L31" s="33" t="str">
        <f>IF(I31=" "," ",'Marking Page'!J32)</f>
        <v xml:space="preserve"> </v>
      </c>
      <c r="M31" s="33" t="str">
        <f>IF(J31=" "," ",'Marking Page'!K32)</f>
        <v xml:space="preserve"> </v>
      </c>
      <c r="N31" s="33" t="str">
        <f>IF(K31=" "," ",'Marking Page'!L32)</f>
        <v xml:space="preserve"> </v>
      </c>
      <c r="O31" s="33" t="str">
        <f>IF(L31=" "," ",'Marking Page'!M32)</f>
        <v xml:space="preserve"> </v>
      </c>
      <c r="P31" s="33" t="str">
        <f>IF(M31=" "," ",'Marking Page'!N32)</f>
        <v xml:space="preserve"> </v>
      </c>
      <c r="Q31" s="33" t="str">
        <f>IF(M31=" "," ",'Marking Page'!O32)</f>
        <v xml:space="preserve"> </v>
      </c>
      <c r="R31" s="33" t="str">
        <f>IF(N31=" "," ",'Marking Page'!P32)</f>
        <v xml:space="preserve"> </v>
      </c>
      <c r="S31" s="9" t="str">
        <f>'Marking Page'!V32</f>
        <v xml:space="preserve"> </v>
      </c>
      <c r="T31" s="36" t="str">
        <f t="shared" si="0"/>
        <v xml:space="preserve"> </v>
      </c>
    </row>
    <row r="32" spans="1:20" x14ac:dyDescent="0.25"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</row>
    <row r="33" spans="2:18" x14ac:dyDescent="0.25"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</row>
    <row r="34" spans="2:18" x14ac:dyDescent="0.25"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</row>
    <row r="35" spans="2:18" x14ac:dyDescent="0.25"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</row>
    <row r="36" spans="2:18" x14ac:dyDescent="0.25"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</row>
    <row r="37" spans="2:18" x14ac:dyDescent="0.25"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</row>
    <row r="38" spans="2:18" x14ac:dyDescent="0.25"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</row>
    <row r="39" spans="2:18" x14ac:dyDescent="0.25">
      <c r="B39" s="2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</row>
    <row r="40" spans="2:18" x14ac:dyDescent="0.25"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</row>
    <row r="41" spans="2:18" x14ac:dyDescent="0.25"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</row>
    <row r="42" spans="2:18" x14ac:dyDescent="0.25"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</row>
    <row r="43" spans="2:18" x14ac:dyDescent="0.25"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</row>
    <row r="44" spans="2:18" x14ac:dyDescent="0.25"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</row>
    <row r="45" spans="2:18" x14ac:dyDescent="0.25"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</row>
    <row r="46" spans="2:18" x14ac:dyDescent="0.25"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</row>
    <row r="47" spans="2:18" x14ac:dyDescent="0.25"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</row>
    <row r="48" spans="2:18" x14ac:dyDescent="0.25"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</row>
    <row r="49" spans="6:18" x14ac:dyDescent="0.25"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</row>
    <row r="50" spans="6:18" x14ac:dyDescent="0.25"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</row>
    <row r="51" spans="6:18" x14ac:dyDescent="0.25"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</row>
    <row r="52" spans="6:18" x14ac:dyDescent="0.25"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</row>
    <row r="53" spans="6:18" x14ac:dyDescent="0.25"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</row>
    <row r="54" spans="6:18" x14ac:dyDescent="0.25"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</row>
    <row r="55" spans="6:18" x14ac:dyDescent="0.25"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</row>
    <row r="56" spans="6:18" x14ac:dyDescent="0.25"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</row>
    <row r="57" spans="6:18" x14ac:dyDescent="0.25"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</row>
    <row r="58" spans="6:18" x14ac:dyDescent="0.25"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</row>
    <row r="59" spans="6:18" x14ac:dyDescent="0.25"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</row>
    <row r="60" spans="6:18" x14ac:dyDescent="0.25"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</row>
    <row r="61" spans="6:18" x14ac:dyDescent="0.25"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</row>
    <row r="62" spans="6:18" x14ac:dyDescent="0.25"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</row>
    <row r="63" spans="6:18" x14ac:dyDescent="0.25"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</row>
    <row r="64" spans="6:18" x14ac:dyDescent="0.25"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</row>
    <row r="65" spans="6:18" x14ac:dyDescent="0.25"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</row>
    <row r="66" spans="6:18" x14ac:dyDescent="0.25"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</row>
    <row r="67" spans="6:18" x14ac:dyDescent="0.25"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</row>
    <row r="68" spans="6:18" x14ac:dyDescent="0.25"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</row>
    <row r="69" spans="6:18" x14ac:dyDescent="0.25"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</row>
    <row r="70" spans="6:18" x14ac:dyDescent="0.25"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</row>
    <row r="71" spans="6:18" x14ac:dyDescent="0.25"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</row>
    <row r="72" spans="6:18" x14ac:dyDescent="0.25"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</row>
    <row r="73" spans="6:18" x14ac:dyDescent="0.25"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</row>
    <row r="74" spans="6:18" x14ac:dyDescent="0.25"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</row>
    <row r="75" spans="6:18" x14ac:dyDescent="0.25"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</row>
    <row r="76" spans="6:18" x14ac:dyDescent="0.25"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</row>
    <row r="77" spans="6:18" x14ac:dyDescent="0.25"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</row>
    <row r="78" spans="6:18" x14ac:dyDescent="0.25"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</row>
    <row r="79" spans="6:18" x14ac:dyDescent="0.25"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</row>
    <row r="80" spans="6:18" x14ac:dyDescent="0.25"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</row>
    <row r="81" spans="6:18" x14ac:dyDescent="0.25"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</row>
    <row r="82" spans="6:18" x14ac:dyDescent="0.25"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</row>
    <row r="83" spans="6:18" x14ac:dyDescent="0.25"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</row>
    <row r="84" spans="6:18" x14ac:dyDescent="0.25"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</row>
    <row r="85" spans="6:18" x14ac:dyDescent="0.25"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</row>
    <row r="86" spans="6:18" x14ac:dyDescent="0.25"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</row>
    <row r="87" spans="6:18" x14ac:dyDescent="0.25"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</row>
    <row r="88" spans="6:18" x14ac:dyDescent="0.25"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</row>
    <row r="89" spans="6:18" x14ac:dyDescent="0.25"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</row>
    <row r="90" spans="6:18" x14ac:dyDescent="0.25"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</row>
    <row r="91" spans="6:18" x14ac:dyDescent="0.25"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</row>
    <row r="92" spans="6:18" x14ac:dyDescent="0.25"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</row>
    <row r="93" spans="6:18" x14ac:dyDescent="0.25"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6:18" x14ac:dyDescent="0.25"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6:18" x14ac:dyDescent="0.25"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</row>
    <row r="96" spans="6:18" x14ac:dyDescent="0.25"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</row>
    <row r="97" spans="6:18" x14ac:dyDescent="0.25"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</row>
    <row r="98" spans="6:18" x14ac:dyDescent="0.25"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</row>
    <row r="99" spans="6:18" x14ac:dyDescent="0.25"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</row>
    <row r="100" spans="6:18" x14ac:dyDescent="0.25"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</row>
    <row r="101" spans="6:18" x14ac:dyDescent="0.25"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</row>
    <row r="102" spans="6:18" x14ac:dyDescent="0.25"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</row>
    <row r="103" spans="6:18" x14ac:dyDescent="0.25"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</row>
    <row r="104" spans="6:18" x14ac:dyDescent="0.25"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</row>
    <row r="105" spans="6:18" x14ac:dyDescent="0.25"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</row>
  </sheetData>
  <mergeCells count="8">
    <mergeCell ref="S6:S7"/>
    <mergeCell ref="T6:T7"/>
    <mergeCell ref="A6:A7"/>
    <mergeCell ref="B6:B7"/>
    <mergeCell ref="C6:C7"/>
    <mergeCell ref="F6:R6"/>
    <mergeCell ref="D6:D7"/>
    <mergeCell ref="E6:E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0"/>
  <sheetViews>
    <sheetView showGridLines="0" view="pageBreakPreview" topLeftCell="A34" zoomScale="60" zoomScaleNormal="100" workbookViewId="0">
      <selection activeCell="L49" sqref="L49"/>
    </sheetView>
  </sheetViews>
  <sheetFormatPr defaultRowHeight="15" x14ac:dyDescent="0.25"/>
  <cols>
    <col min="1" max="1" width="13.7109375" style="42" customWidth="1"/>
    <col min="2" max="3" width="9.140625" style="42"/>
    <col min="4" max="4" width="9.7109375" style="42" bestFit="1" customWidth="1"/>
    <col min="5" max="16384" width="9.140625" style="42"/>
  </cols>
  <sheetData>
    <row r="1" spans="1:11" ht="15.75" thickBot="1" x14ac:dyDescent="0.3">
      <c r="A1" s="42" t="s">
        <v>0</v>
      </c>
    </row>
    <row r="2" spans="1:11" ht="30.75" thickBot="1" x14ac:dyDescent="0.45">
      <c r="B2" s="43" t="s">
        <v>376</v>
      </c>
      <c r="K2" s="69">
        <v>1</v>
      </c>
    </row>
    <row r="5" spans="1:11" ht="31.5" x14ac:dyDescent="0.5">
      <c r="A5" s="44" t="s">
        <v>1</v>
      </c>
    </row>
    <row r="6" spans="1:11" ht="21" x14ac:dyDescent="0.35">
      <c r="A6" s="45" t="str">
        <f>Formula!A3</f>
        <v>Term 1</v>
      </c>
      <c r="B6" s="46" t="s">
        <v>260</v>
      </c>
      <c r="C6" s="47" t="str">
        <f>Formula!C3</f>
        <v>2017 / 2018</v>
      </c>
    </row>
    <row r="7" spans="1:11" s="49" customFormat="1" x14ac:dyDescent="0.25">
      <c r="A7" s="48"/>
    </row>
    <row r="8" spans="1:11" ht="6.95" customHeight="1" x14ac:dyDescent="0.25">
      <c r="A8" s="50"/>
      <c r="B8" s="50"/>
      <c r="C8" s="50"/>
      <c r="D8" s="50"/>
      <c r="E8" s="50"/>
      <c r="F8" s="50"/>
      <c r="G8" s="50"/>
      <c r="H8" s="50"/>
      <c r="I8" s="50"/>
    </row>
    <row r="9" spans="1:11" x14ac:dyDescent="0.25">
      <c r="A9" s="42" t="s">
        <v>2</v>
      </c>
      <c r="E9" s="42" t="s">
        <v>4</v>
      </c>
      <c r="H9" s="42" t="s">
        <v>6</v>
      </c>
    </row>
    <row r="10" spans="1:11" x14ac:dyDescent="0.25">
      <c r="A10" s="48" t="str">
        <f>VLOOKUP($K$2,formula1,3,1)</f>
        <v>ANDREW HARDJONO</v>
      </c>
      <c r="E10" s="51" t="str">
        <f>VLOOKUP($K$2,formula1,5,1)</f>
        <v>18 December 2001</v>
      </c>
      <c r="H10" s="52">
        <f>Formula!R3</f>
        <v>10.1</v>
      </c>
    </row>
    <row r="12" spans="1:11" x14ac:dyDescent="0.25">
      <c r="A12" s="42" t="s">
        <v>3</v>
      </c>
      <c r="E12" s="42" t="s">
        <v>5</v>
      </c>
    </row>
    <row r="13" spans="1:11" x14ac:dyDescent="0.25">
      <c r="A13" s="48" t="str">
        <f>VLOOKUP($K$2,formula1,2,1)</f>
        <v>590/0018211428</v>
      </c>
      <c r="E13" s="48" t="str">
        <f>VLOOKUP($K$2,formula1,4,1)</f>
        <v>M</v>
      </c>
    </row>
    <row r="14" spans="1:11" ht="6.95" customHeight="1" x14ac:dyDescent="0.25">
      <c r="A14" s="53"/>
      <c r="B14" s="53"/>
      <c r="C14" s="53"/>
      <c r="D14" s="53"/>
      <c r="E14" s="53"/>
      <c r="F14" s="53"/>
      <c r="G14" s="53"/>
      <c r="H14" s="53"/>
      <c r="I14" s="53"/>
    </row>
    <row r="15" spans="1:11" ht="6.95" customHeight="1" x14ac:dyDescent="0.25"/>
    <row r="16" spans="1:11" x14ac:dyDescent="0.25">
      <c r="A16" s="48" t="s">
        <v>7</v>
      </c>
      <c r="B16" s="48" t="s">
        <v>8</v>
      </c>
      <c r="C16" s="48"/>
      <c r="D16" s="48"/>
      <c r="F16" s="54" t="s">
        <v>9</v>
      </c>
      <c r="G16" s="122" t="s">
        <v>10</v>
      </c>
      <c r="H16" s="122"/>
      <c r="I16" s="122"/>
    </row>
    <row r="18" spans="1:9" s="56" customFormat="1" ht="20.100000000000001" customHeight="1" x14ac:dyDescent="0.25">
      <c r="A18" s="55" t="s">
        <v>11</v>
      </c>
      <c r="B18" s="56" t="s">
        <v>12</v>
      </c>
      <c r="F18" s="57" t="str">
        <f>IF(H18&gt;=90,"A*", IF(H18&gt;=80,"A",IF(H18&gt;=70,"B",IF(H18&gt;=60,"C",IF(H18&gt;=50,"D",IF(H18&gt;=40,"E","U"))))))</f>
        <v>U</v>
      </c>
      <c r="H18" s="57">
        <f>VLOOKUP($K$2,formula1,6,1)</f>
        <v>0</v>
      </c>
      <c r="I18" s="56" t="s">
        <v>256</v>
      </c>
    </row>
    <row r="19" spans="1:9" s="56" customFormat="1" ht="20.100000000000001" customHeight="1" x14ac:dyDescent="0.25">
      <c r="A19" s="55"/>
      <c r="B19" s="56" t="s">
        <v>13</v>
      </c>
      <c r="F19" s="57" t="str">
        <f t="shared" ref="F19:F29" si="0">IF(H19&gt;=90,"A*", IF(H19&gt;=80,"A",IF(H19&gt;=70,"B",IF(H19&gt;=60,"C",IF(H19&gt;=50,"D",IF(H19&gt;=40,"E","U"))))))</f>
        <v>U</v>
      </c>
      <c r="H19" s="57">
        <f>VLOOKUP($K$2,formula1,7,1)</f>
        <v>0</v>
      </c>
      <c r="I19" s="56" t="s">
        <v>256</v>
      </c>
    </row>
    <row r="20" spans="1:9" s="56" customFormat="1" ht="20.100000000000001" customHeight="1" x14ac:dyDescent="0.25">
      <c r="A20" s="55"/>
      <c r="B20" s="56" t="s">
        <v>14</v>
      </c>
      <c r="F20" s="57" t="str">
        <f t="shared" si="0"/>
        <v>U</v>
      </c>
      <c r="H20" s="57">
        <f>VLOOKUP($K$2,formula1,8,1)</f>
        <v>0</v>
      </c>
      <c r="I20" s="56" t="s">
        <v>256</v>
      </c>
    </row>
    <row r="21" spans="1:9" x14ac:dyDescent="0.25">
      <c r="A21" s="58"/>
      <c r="H21" s="59"/>
    </row>
    <row r="22" spans="1:9" s="56" customFormat="1" ht="20.100000000000001" customHeight="1" x14ac:dyDescent="0.25">
      <c r="A22" s="55" t="s">
        <v>15</v>
      </c>
      <c r="B22" s="56" t="s">
        <v>305</v>
      </c>
      <c r="F22" s="57" t="str">
        <f t="shared" si="0"/>
        <v>U</v>
      </c>
      <c r="H22" s="57">
        <f>VLOOKUP($K$2,formula1,9,1)</f>
        <v>0</v>
      </c>
      <c r="I22" s="56" t="s">
        <v>256</v>
      </c>
    </row>
    <row r="23" spans="1:9" s="56" customFormat="1" ht="20.100000000000001" customHeight="1" x14ac:dyDescent="0.25">
      <c r="A23" s="55"/>
      <c r="B23" s="56" t="s">
        <v>16</v>
      </c>
      <c r="F23" s="57" t="str">
        <f t="shared" si="0"/>
        <v>U</v>
      </c>
      <c r="H23" s="57">
        <f>VLOOKUP($K$2,formula1,10,1)</f>
        <v>0</v>
      </c>
      <c r="I23" s="56" t="s">
        <v>256</v>
      </c>
    </row>
    <row r="24" spans="1:9" s="56" customFormat="1" ht="20.100000000000001" customHeight="1" x14ac:dyDescent="0.25">
      <c r="A24" s="55"/>
      <c r="B24" s="56" t="s">
        <v>17</v>
      </c>
      <c r="F24" s="57" t="str">
        <f t="shared" si="0"/>
        <v>U</v>
      </c>
      <c r="H24" s="57">
        <f>VLOOKUP($K$2,formula1,11,1)</f>
        <v>0</v>
      </c>
      <c r="I24" s="56" t="s">
        <v>256</v>
      </c>
    </row>
    <row r="25" spans="1:9" s="56" customFormat="1" ht="20.100000000000001" customHeight="1" x14ac:dyDescent="0.25">
      <c r="A25" s="55"/>
      <c r="B25" s="56" t="s">
        <v>241</v>
      </c>
      <c r="F25" s="57" t="str">
        <f t="shared" si="0"/>
        <v>U</v>
      </c>
      <c r="H25" s="57">
        <f>VLOOKUP($K$2,formula1,12,1)</f>
        <v>0</v>
      </c>
      <c r="I25" s="56" t="s">
        <v>256</v>
      </c>
    </row>
    <row r="26" spans="1:9" s="56" customFormat="1" ht="20.100000000000001" customHeight="1" x14ac:dyDescent="0.25">
      <c r="A26" s="55"/>
      <c r="B26" s="56" t="s">
        <v>246</v>
      </c>
      <c r="F26" s="57" t="str">
        <f t="shared" si="0"/>
        <v>U</v>
      </c>
      <c r="H26" s="57">
        <f>VLOOKUP($K$2,formula1,13,1)</f>
        <v>0</v>
      </c>
      <c r="I26" s="56" t="s">
        <v>256</v>
      </c>
    </row>
    <row r="27" spans="1:9" s="56" customFormat="1" ht="20.100000000000001" customHeight="1" x14ac:dyDescent="0.25">
      <c r="A27" s="55"/>
      <c r="B27" s="56" t="s">
        <v>18</v>
      </c>
      <c r="F27" s="57" t="str">
        <f t="shared" si="0"/>
        <v>U</v>
      </c>
      <c r="H27" s="57">
        <f>VLOOKUP($K$2,formula1,14,1)</f>
        <v>0</v>
      </c>
      <c r="I27" s="56" t="s">
        <v>256</v>
      </c>
    </row>
    <row r="28" spans="1:9" s="56" customFormat="1" ht="20.100000000000001" customHeight="1" x14ac:dyDescent="0.25">
      <c r="A28" s="55"/>
      <c r="B28" s="56" t="str">
        <f>VLOOKUP($K$2,formula1,20,1)</f>
        <v>Mandarin (Intermediate)</v>
      </c>
      <c r="F28" s="57" t="str">
        <f t="shared" si="0"/>
        <v>U</v>
      </c>
      <c r="H28" s="57">
        <f>VLOOKUP($K$2,formula1,15,1)</f>
        <v>0</v>
      </c>
      <c r="I28" s="56" t="s">
        <v>256</v>
      </c>
    </row>
    <row r="29" spans="1:9" s="56" customFormat="1" ht="20.100000000000001" customHeight="1" x14ac:dyDescent="0.25">
      <c r="A29" s="55"/>
      <c r="B29" s="123" t="s">
        <v>380</v>
      </c>
      <c r="C29" s="123"/>
      <c r="D29" s="123"/>
      <c r="E29" s="60"/>
      <c r="F29" s="57" t="str">
        <f t="shared" si="0"/>
        <v>U</v>
      </c>
      <c r="H29" s="57">
        <f>VLOOKUP($K$2,formula1,16,1)</f>
        <v>0</v>
      </c>
      <c r="I29" s="56" t="s">
        <v>256</v>
      </c>
    </row>
    <row r="30" spans="1:9" s="56" customFormat="1" ht="20.100000000000001" customHeight="1" x14ac:dyDescent="0.25">
      <c r="A30" s="55"/>
      <c r="B30" s="123"/>
      <c r="C30" s="123"/>
      <c r="D30" s="123"/>
      <c r="E30" s="60"/>
      <c r="H30" s="57"/>
    </row>
    <row r="31" spans="1:9" x14ac:dyDescent="0.25">
      <c r="A31" s="58"/>
      <c r="H31" s="59"/>
    </row>
    <row r="32" spans="1:9" s="56" customFormat="1" ht="20.100000000000001" customHeight="1" x14ac:dyDescent="0.25">
      <c r="A32" s="55" t="s">
        <v>19</v>
      </c>
      <c r="B32" s="56" t="s">
        <v>20</v>
      </c>
      <c r="F32" s="57" t="str">
        <f t="shared" ref="F32:F33" si="1">IF(H32&gt;=90,"A*", IF(H32&gt;=80,"A",IF(H32&gt;=70,"B",IF(H32&gt;=60,"C",IF(H32&gt;=50,"D",IF(H32&gt;=40,"E","U"))))))</f>
        <v>U</v>
      </c>
      <c r="H32" s="57">
        <f>VLOOKUP($K$2,formula1,16,1)</f>
        <v>0</v>
      </c>
      <c r="I32" s="56" t="s">
        <v>256</v>
      </c>
    </row>
    <row r="33" spans="1:9" s="56" customFormat="1" ht="20.100000000000001" customHeight="1" x14ac:dyDescent="0.25">
      <c r="B33" s="56" t="s">
        <v>21</v>
      </c>
      <c r="F33" s="57" t="str">
        <f t="shared" si="1"/>
        <v>U</v>
      </c>
      <c r="H33" s="57">
        <f>VLOOKUP($K$2,formula1,17,1)</f>
        <v>0</v>
      </c>
      <c r="I33" s="56" t="s">
        <v>256</v>
      </c>
    </row>
    <row r="34" spans="1:9" ht="6.95" customHeight="1" x14ac:dyDescent="0.25">
      <c r="A34" s="53"/>
      <c r="B34" s="53"/>
      <c r="C34" s="53"/>
      <c r="D34" s="53"/>
      <c r="E34" s="53"/>
      <c r="F34" s="53"/>
      <c r="G34" s="53"/>
      <c r="H34" s="53"/>
      <c r="I34" s="53"/>
    </row>
    <row r="37" spans="1:9" x14ac:dyDescent="0.25">
      <c r="G37" s="61" t="s">
        <v>22</v>
      </c>
      <c r="H37" s="66">
        <f>Cover!L16</f>
        <v>0</v>
      </c>
    </row>
    <row r="38" spans="1:9" x14ac:dyDescent="0.25">
      <c r="A38" s="42" t="s">
        <v>24</v>
      </c>
      <c r="C38" s="42" t="s">
        <v>25</v>
      </c>
      <c r="G38" s="42" t="s">
        <v>23</v>
      </c>
    </row>
    <row r="42" spans="1:9" ht="15.75" thickBot="1" x14ac:dyDescent="0.3">
      <c r="A42" s="62"/>
      <c r="B42" s="48"/>
      <c r="C42" s="48" t="s">
        <v>377</v>
      </c>
      <c r="D42" s="48"/>
      <c r="E42" s="48"/>
      <c r="F42" s="48"/>
      <c r="G42" s="48" t="str">
        <f>'Marking Page'!Q44</f>
        <v>Radot Jefri S.O.H., S.T.</v>
      </c>
      <c r="H42" s="48"/>
      <c r="I42" s="48"/>
    </row>
    <row r="51" spans="1:9" ht="31.5" x14ac:dyDescent="0.5">
      <c r="A51" s="44" t="s">
        <v>266</v>
      </c>
    </row>
    <row r="52" spans="1:9" ht="21" x14ac:dyDescent="0.35">
      <c r="A52" s="45" t="str">
        <f>A6</f>
        <v>Term 1</v>
      </c>
      <c r="B52" s="46" t="s">
        <v>260</v>
      </c>
      <c r="C52" s="47" t="str">
        <f>C6</f>
        <v>2017 / 2018</v>
      </c>
    </row>
    <row r="53" spans="1:9" s="49" customFormat="1" x14ac:dyDescent="0.25">
      <c r="A53" s="48"/>
    </row>
    <row r="54" spans="1:9" ht="6.95" customHeight="1" x14ac:dyDescent="0.25">
      <c r="A54" s="50"/>
      <c r="B54" s="50"/>
      <c r="C54" s="50"/>
      <c r="D54" s="50"/>
      <c r="E54" s="50"/>
      <c r="F54" s="50"/>
      <c r="G54" s="50"/>
      <c r="H54" s="50"/>
      <c r="I54" s="50"/>
    </row>
    <row r="55" spans="1:9" x14ac:dyDescent="0.25">
      <c r="A55" s="42" t="s">
        <v>2</v>
      </c>
      <c r="E55" s="42" t="s">
        <v>4</v>
      </c>
      <c r="H55" s="42" t="s">
        <v>6</v>
      </c>
    </row>
    <row r="56" spans="1:9" x14ac:dyDescent="0.25">
      <c r="A56" s="48" t="str">
        <f>A10</f>
        <v>ANDREW HARDJONO</v>
      </c>
      <c r="E56" s="51" t="str">
        <f>E10</f>
        <v>18 December 2001</v>
      </c>
      <c r="H56" s="52">
        <f>H10</f>
        <v>10.1</v>
      </c>
    </row>
    <row r="58" spans="1:9" x14ac:dyDescent="0.25">
      <c r="A58" s="42" t="s">
        <v>3</v>
      </c>
      <c r="E58" s="42" t="s">
        <v>5</v>
      </c>
    </row>
    <row r="59" spans="1:9" x14ac:dyDescent="0.25">
      <c r="A59" s="48" t="str">
        <f>A13</f>
        <v>590/0018211428</v>
      </c>
      <c r="E59" s="48" t="str">
        <f>E13</f>
        <v>M</v>
      </c>
    </row>
    <row r="60" spans="1:9" ht="6.95" customHeight="1" x14ac:dyDescent="0.25">
      <c r="A60" s="53"/>
      <c r="B60" s="53"/>
      <c r="C60" s="53"/>
      <c r="D60" s="53"/>
      <c r="E60" s="53"/>
      <c r="F60" s="53"/>
      <c r="G60" s="53"/>
      <c r="H60" s="53"/>
      <c r="I60" s="53"/>
    </row>
    <row r="61" spans="1:9" ht="6.95" customHeight="1" x14ac:dyDescent="0.25"/>
    <row r="62" spans="1:9" x14ac:dyDescent="0.25">
      <c r="A62" s="48" t="s">
        <v>267</v>
      </c>
      <c r="B62" s="48" t="s">
        <v>268</v>
      </c>
      <c r="C62" s="48"/>
      <c r="D62" s="48"/>
      <c r="E62" s="48"/>
      <c r="F62" s="48"/>
      <c r="G62" s="48"/>
      <c r="H62" s="54" t="s">
        <v>281</v>
      </c>
      <c r="I62" s="48"/>
    </row>
    <row r="63" spans="1:9" x14ac:dyDescent="0.25">
      <c r="H63" s="59"/>
    </row>
    <row r="64" spans="1:9" x14ac:dyDescent="0.25">
      <c r="A64" s="58" t="s">
        <v>290</v>
      </c>
      <c r="H64" s="59">
        <f>VLOOKUP($K$2,sikap,4,1)</f>
        <v>0</v>
      </c>
    </row>
    <row r="65" spans="1:8" x14ac:dyDescent="0.25">
      <c r="A65" s="63" t="s">
        <v>282</v>
      </c>
      <c r="B65" s="42" t="s">
        <v>269</v>
      </c>
      <c r="H65" s="59"/>
    </row>
    <row r="66" spans="1:8" x14ac:dyDescent="0.25">
      <c r="A66" s="63" t="s">
        <v>283</v>
      </c>
      <c r="B66" s="42" t="s">
        <v>270</v>
      </c>
      <c r="H66" s="59"/>
    </row>
    <row r="67" spans="1:8" x14ac:dyDescent="0.25">
      <c r="A67" s="63" t="s">
        <v>284</v>
      </c>
      <c r="B67" s="42" t="s">
        <v>271</v>
      </c>
      <c r="H67" s="59"/>
    </row>
    <row r="68" spans="1:8" x14ac:dyDescent="0.25">
      <c r="A68" s="63" t="s">
        <v>285</v>
      </c>
      <c r="B68" s="42" t="s">
        <v>272</v>
      </c>
      <c r="H68" s="59"/>
    </row>
    <row r="69" spans="1:8" x14ac:dyDescent="0.25">
      <c r="H69" s="59"/>
    </row>
    <row r="70" spans="1:8" x14ac:dyDescent="0.25">
      <c r="A70" s="58" t="s">
        <v>273</v>
      </c>
      <c r="H70" s="59">
        <f>VLOOKUP($K$2,sikap,5,1)</f>
        <v>0</v>
      </c>
    </row>
    <row r="71" spans="1:8" x14ac:dyDescent="0.25">
      <c r="A71" s="63" t="s">
        <v>282</v>
      </c>
      <c r="B71" s="42" t="s">
        <v>287</v>
      </c>
      <c r="H71" s="59"/>
    </row>
    <row r="72" spans="1:8" x14ac:dyDescent="0.25">
      <c r="A72" s="63" t="s">
        <v>283</v>
      </c>
      <c r="B72" s="42" t="s">
        <v>288</v>
      </c>
      <c r="H72" s="59"/>
    </row>
    <row r="73" spans="1:8" x14ac:dyDescent="0.25">
      <c r="H73" s="59"/>
    </row>
    <row r="74" spans="1:8" x14ac:dyDescent="0.25">
      <c r="A74" s="58" t="s">
        <v>274</v>
      </c>
      <c r="H74" s="59">
        <f>VLOOKUP($K$2,sikap,6,1)</f>
        <v>0</v>
      </c>
    </row>
    <row r="75" spans="1:8" x14ac:dyDescent="0.25">
      <c r="A75" s="63" t="s">
        <v>282</v>
      </c>
      <c r="B75" s="42" t="s">
        <v>381</v>
      </c>
      <c r="H75" s="59"/>
    </row>
    <row r="76" spans="1:8" x14ac:dyDescent="0.25">
      <c r="A76" s="63" t="s">
        <v>283</v>
      </c>
      <c r="B76" s="42" t="s">
        <v>275</v>
      </c>
      <c r="H76" s="59"/>
    </row>
    <row r="77" spans="1:8" x14ac:dyDescent="0.25">
      <c r="H77" s="59"/>
    </row>
    <row r="78" spans="1:8" x14ac:dyDescent="0.25">
      <c r="A78" s="58" t="s">
        <v>276</v>
      </c>
      <c r="H78" s="59">
        <f>VLOOKUP($K$2,sikap,7,1)</f>
        <v>0</v>
      </c>
    </row>
    <row r="79" spans="1:8" x14ac:dyDescent="0.25">
      <c r="A79" s="63" t="s">
        <v>282</v>
      </c>
      <c r="B79" s="42" t="s">
        <v>277</v>
      </c>
      <c r="H79" s="59"/>
    </row>
    <row r="80" spans="1:8" x14ac:dyDescent="0.25">
      <c r="A80" s="63"/>
      <c r="B80" s="42" t="s">
        <v>278</v>
      </c>
      <c r="H80" s="59"/>
    </row>
    <row r="81" spans="1:9" x14ac:dyDescent="0.25">
      <c r="A81" s="63" t="s">
        <v>283</v>
      </c>
      <c r="B81" s="42" t="s">
        <v>279</v>
      </c>
      <c r="H81" s="59"/>
    </row>
    <row r="82" spans="1:9" x14ac:dyDescent="0.25">
      <c r="A82" s="63"/>
      <c r="B82" s="42" t="s">
        <v>280</v>
      </c>
      <c r="H82" s="59"/>
    </row>
    <row r="83" spans="1:9" x14ac:dyDescent="0.25">
      <c r="A83" s="63" t="s">
        <v>286</v>
      </c>
      <c r="B83" s="42" t="s">
        <v>289</v>
      </c>
    </row>
    <row r="84" spans="1:9" ht="6.95" customHeight="1" x14ac:dyDescent="0.25">
      <c r="A84" s="53"/>
      <c r="B84" s="53"/>
      <c r="C84" s="53"/>
      <c r="D84" s="53"/>
      <c r="E84" s="53"/>
      <c r="F84" s="53"/>
      <c r="G84" s="53"/>
      <c r="H84" s="53"/>
      <c r="I84" s="53"/>
    </row>
    <row r="85" spans="1:9" ht="6.95" customHeight="1" x14ac:dyDescent="0.25"/>
    <row r="86" spans="1:9" x14ac:dyDescent="0.25">
      <c r="A86" s="48" t="s">
        <v>292</v>
      </c>
      <c r="B86" s="48"/>
      <c r="C86" s="49"/>
      <c r="D86" s="48"/>
      <c r="F86" s="48"/>
      <c r="G86" s="54" t="s">
        <v>293</v>
      </c>
      <c r="H86" s="64"/>
    </row>
    <row r="87" spans="1:9" x14ac:dyDescent="0.25">
      <c r="C87" s="65" t="str">
        <f>IF(VLOOKUP($K$2,sikap,8,1)=0," ",VLOOKUP($K$2,sikap,8,1))</f>
        <v xml:space="preserve"> </v>
      </c>
      <c r="H87" s="59" t="str">
        <f>IF(VLOOKUP($K$2,sikap,9,1)=0," ",VLOOKUP($K$2,sikap,9,1))</f>
        <v xml:space="preserve"> </v>
      </c>
    </row>
    <row r="88" spans="1:9" x14ac:dyDescent="0.25">
      <c r="C88" s="66" t="str">
        <f>IF(VLOOKUP($K$2,sikap,10,1)=0," ",VLOOKUP($K$2,sikap,10,1))</f>
        <v xml:space="preserve"> </v>
      </c>
      <c r="D88" s="67"/>
      <c r="E88" s="54"/>
      <c r="F88" s="58"/>
      <c r="H88" s="59" t="str">
        <f>IF(VLOOKUP($K$2,sikap,11,1)=0," ",VLOOKUP($K$2,sikap,11,1))</f>
        <v xml:space="preserve"> </v>
      </c>
    </row>
    <row r="89" spans="1:9" x14ac:dyDescent="0.25">
      <c r="D89" s="67"/>
      <c r="E89" s="54"/>
      <c r="F89" s="58"/>
    </row>
    <row r="90" spans="1:9" x14ac:dyDescent="0.25">
      <c r="A90" s="48" t="s">
        <v>295</v>
      </c>
      <c r="C90" s="68" t="s">
        <v>294</v>
      </c>
      <c r="D90" s="61" t="str">
        <f>IF(VLOOKUP($K$2,sikap,12,1)=0,"-",VLOOKUP($K$2,sikap,12,1))</f>
        <v>-</v>
      </c>
      <c r="E90" s="68" t="s">
        <v>296</v>
      </c>
      <c r="F90" s="64" t="str">
        <f>IF(VLOOKUP($K$2,sikap,13,1)=0,"-",VLOOKUP($K$2,sikap,13,1))</f>
        <v>-</v>
      </c>
      <c r="G90" s="121" t="s">
        <v>297</v>
      </c>
      <c r="H90" s="121"/>
      <c r="I90" s="61" t="str">
        <f>IF(VLOOKUP($K$2,sikap,14,1)=0,"-",VLOOKUP($K$2,sikap,14,1))</f>
        <v>-</v>
      </c>
    </row>
    <row r="91" spans="1:9" x14ac:dyDescent="0.25">
      <c r="D91" s="67"/>
      <c r="E91" s="54"/>
      <c r="F91" s="58"/>
    </row>
    <row r="92" spans="1:9" ht="6.95" customHeight="1" x14ac:dyDescent="0.25">
      <c r="A92" s="53"/>
      <c r="B92" s="53"/>
      <c r="C92" s="53"/>
      <c r="D92" s="53"/>
      <c r="E92" s="53"/>
      <c r="F92" s="53"/>
      <c r="G92" s="53"/>
      <c r="H92" s="53"/>
      <c r="I92" s="53"/>
    </row>
    <row r="93" spans="1:9" ht="6.95" customHeight="1" x14ac:dyDescent="0.25"/>
    <row r="95" spans="1:9" x14ac:dyDescent="0.25">
      <c r="G95" s="61" t="s">
        <v>22</v>
      </c>
      <c r="H95" s="66">
        <f>H37</f>
        <v>0</v>
      </c>
    </row>
    <row r="96" spans="1:9" x14ac:dyDescent="0.25">
      <c r="A96" s="42" t="s">
        <v>24</v>
      </c>
      <c r="C96" s="42" t="s">
        <v>25</v>
      </c>
      <c r="G96" s="42" t="s">
        <v>23</v>
      </c>
    </row>
    <row r="100" spans="1:9" ht="15.75" thickBot="1" x14ac:dyDescent="0.3">
      <c r="A100" s="62"/>
      <c r="B100" s="48"/>
      <c r="C100" s="48" t="str">
        <f>C42</f>
        <v>Agustinus Siahaan, S.Si.</v>
      </c>
      <c r="D100" s="48"/>
      <c r="E100" s="48"/>
      <c r="F100" s="48"/>
      <c r="G100" s="48" t="str">
        <f>G42</f>
        <v>Radot Jefri S.O.H., S.T.</v>
      </c>
      <c r="H100" s="48"/>
      <c r="I100" s="48"/>
    </row>
  </sheetData>
  <sheetProtection algorithmName="SHA-512" hashValue="YhQ3/l9OHZX7AjmYpkveKzpQHVoJi1crLAjVFJh4BSq1bk+EUR0wqviNrzT3lfOaXp9ley8WPD6N/M03AJKR/w==" saltValue="o2J3skbp+O7+2YkhYjNz3A==" spinCount="100000" sheet="1" objects="1" scenarios="1"/>
  <mergeCells count="3">
    <mergeCell ref="G90:H90"/>
    <mergeCell ref="G16:I16"/>
    <mergeCell ref="B29:D30"/>
  </mergeCells>
  <pageMargins left="0.7" right="0.7" top="0.45" bottom="0.45" header="0.3" footer="0.3"/>
  <pageSetup paperSize="9" scale="97" fitToHeight="2" orientation="portrait" r:id="rId1"/>
  <rowBreaks count="3" manualBreakCount="3">
    <brk id="49" max="8" man="1"/>
    <brk id="50" max="16383" man="1"/>
    <brk id="57" max="16383" man="1"/>
  </rowBreaks>
  <colBreaks count="2" manualBreakCount="2">
    <brk id="5" max="1048575" man="1"/>
    <brk id="6" max="103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10</vt:i4>
      </vt:variant>
    </vt:vector>
  </HeadingPairs>
  <TitlesOfParts>
    <vt:vector size="17" baseType="lpstr">
      <vt:lpstr>Cover</vt:lpstr>
      <vt:lpstr>Student Data</vt:lpstr>
      <vt:lpstr>Data</vt:lpstr>
      <vt:lpstr>Marking Page</vt:lpstr>
      <vt:lpstr>Behavior Page</vt:lpstr>
      <vt:lpstr>Formula</vt:lpstr>
      <vt:lpstr>Report Page</vt:lpstr>
      <vt:lpstr>birth</vt:lpstr>
      <vt:lpstr>formula1</vt:lpstr>
      <vt:lpstr>gender</vt:lpstr>
      <vt:lpstr>id</vt:lpstr>
      <vt:lpstr>mand</vt:lpstr>
      <vt:lpstr>name</vt:lpstr>
      <vt:lpstr>'Behavior Page'!Print_Area</vt:lpstr>
      <vt:lpstr>'Marking Page'!Print_Area</vt:lpstr>
      <vt:lpstr>'Report Page'!Print_Area</vt:lpstr>
      <vt:lpstr>sikap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TMAK</dc:creator>
  <cp:lastModifiedBy>Tanti</cp:lastModifiedBy>
  <cp:lastPrinted>2017-09-19T03:16:44Z</cp:lastPrinted>
  <dcterms:created xsi:type="dcterms:W3CDTF">2017-09-07T09:15:19Z</dcterms:created>
  <dcterms:modified xsi:type="dcterms:W3CDTF">2017-09-22T07:24:03Z</dcterms:modified>
</cp:coreProperties>
</file>