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And1 punya\RAPOT YANG DIPRINT (SPK 2018-2019)\"/>
    </mc:Choice>
  </mc:AlternateContent>
  <workbookProtection workbookAlgorithmName="SHA-512" workbookHashValue="AZ5k66jqQacmuGSac6meGXyuzrZk6PDvMpU+BU2Ug58X6D4m/AodGIgQJXIGDPouVyGFshzswSgEAP1TNb1ZVw==" workbookSaltValue="UH1MU7+OBzxnd9WeU0QFGQ==" workbookSpinCount="100000" lockStructure="1"/>
  <bookViews>
    <workbookView xWindow="0" yWindow="0" windowWidth="20490" windowHeight="7755" activeTab="3"/>
  </bookViews>
  <sheets>
    <sheet name="Cover" sheetId="6" r:id="rId1"/>
    <sheet name="Student Data" sheetId="4" r:id="rId2"/>
    <sheet name="Data" sheetId="3" state="hidden" r:id="rId3"/>
    <sheet name="Marking Page" sheetId="2" r:id="rId4"/>
    <sheet name="Formula" sheetId="5" state="hidden" r:id="rId5"/>
    <sheet name="Behavior Page" sheetId="7" r:id="rId6"/>
    <sheet name="Report Page" sheetId="1" r:id="rId7"/>
  </sheets>
  <definedNames>
    <definedName name="birth">Data!$B$95:$M$121</definedName>
    <definedName name="formula1">Formula!$A$8:$T$33</definedName>
    <definedName name="gender">Data!$B$65:$M$91</definedName>
    <definedName name="id">Data!$B$35:$M$61</definedName>
    <definedName name="mand">Data!$B$125:$M$151</definedName>
    <definedName name="name">Data!$B$4:$M$31</definedName>
    <definedName name="_xlnm.Print_Area" localSheetId="5">'Behavior Page'!$A$1:$N$41</definedName>
    <definedName name="_xlnm.Print_Area" localSheetId="6">'Report Page'!$A$1:$I$106</definedName>
    <definedName name="sikap">'Behavior Page'!$A$9:$N$34</definedName>
    <definedName name="subject1">'Marking Page'!$V$37:$AG$50</definedName>
    <definedName name="subject2">'Marking Page'!$AI$37:$AT$40</definedName>
  </definedNames>
  <calcPr calcId="152511"/>
  <fileRecoveryPr autoRecover="0"/>
</workbook>
</file>

<file path=xl/calcChain.xml><?xml version="1.0" encoding="utf-8"?>
<calcChain xmlns="http://schemas.openxmlformats.org/spreadsheetml/2006/main">
  <c r="T8" i="5" l="1"/>
  <c r="B28" i="1"/>
  <c r="B27" i="1"/>
  <c r="I36" i="2"/>
  <c r="I37" i="2"/>
  <c r="I38" i="2"/>
  <c r="K137" i="3" l="1"/>
  <c r="B150" i="3"/>
  <c r="C150" i="3"/>
  <c r="D150" i="3"/>
  <c r="E150" i="3"/>
  <c r="F150" i="3"/>
  <c r="G150" i="3"/>
  <c r="H150" i="3"/>
  <c r="I150" i="3"/>
  <c r="J150" i="3"/>
  <c r="K150" i="3"/>
  <c r="L150" i="3"/>
  <c r="M150" i="3"/>
  <c r="B151" i="3"/>
  <c r="C151" i="3"/>
  <c r="D151" i="3"/>
  <c r="E151" i="3"/>
  <c r="F151" i="3"/>
  <c r="G151" i="3"/>
  <c r="H151" i="3"/>
  <c r="I151" i="3"/>
  <c r="J151" i="3"/>
  <c r="K151" i="3"/>
  <c r="L151" i="3"/>
  <c r="M151" i="3"/>
  <c r="B31" i="3"/>
  <c r="C31" i="3"/>
  <c r="D31" i="3"/>
  <c r="E31" i="3"/>
  <c r="F31" i="3"/>
  <c r="G31" i="3"/>
  <c r="H31" i="3"/>
  <c r="I31" i="3"/>
  <c r="J31" i="3"/>
  <c r="K31" i="3"/>
  <c r="L31" i="3"/>
  <c r="M31" i="3"/>
  <c r="B120" i="3"/>
  <c r="C120" i="3"/>
  <c r="D120" i="3"/>
  <c r="E120" i="3"/>
  <c r="F120" i="3"/>
  <c r="G120" i="3"/>
  <c r="H120" i="3"/>
  <c r="I120" i="3"/>
  <c r="J120" i="3"/>
  <c r="K120" i="3"/>
  <c r="L120" i="3"/>
  <c r="M120" i="3"/>
  <c r="B121" i="3"/>
  <c r="C121" i="3"/>
  <c r="D121" i="3"/>
  <c r="E121" i="3"/>
  <c r="F121" i="3"/>
  <c r="G121" i="3"/>
  <c r="H121" i="3"/>
  <c r="I121" i="3"/>
  <c r="J121" i="3"/>
  <c r="K121" i="3"/>
  <c r="L121" i="3"/>
  <c r="M121" i="3"/>
  <c r="B91" i="3"/>
  <c r="C91" i="3"/>
  <c r="D91" i="3"/>
  <c r="E91" i="3"/>
  <c r="F91" i="3"/>
  <c r="G91" i="3"/>
  <c r="H91" i="3"/>
  <c r="I91" i="3"/>
  <c r="J91" i="3"/>
  <c r="K91" i="3"/>
  <c r="L91" i="3"/>
  <c r="M91" i="3"/>
  <c r="B61" i="3"/>
  <c r="C61" i="3"/>
  <c r="D61" i="3"/>
  <c r="E61" i="3"/>
  <c r="F61" i="3"/>
  <c r="G61" i="3"/>
  <c r="H61" i="3"/>
  <c r="I61" i="3"/>
  <c r="J61" i="3"/>
  <c r="K61" i="3"/>
  <c r="L61" i="3"/>
  <c r="M61" i="3"/>
  <c r="B30" i="3"/>
  <c r="C30" i="3"/>
  <c r="D30" i="3"/>
  <c r="E30" i="3"/>
  <c r="F30" i="3"/>
  <c r="G30" i="3"/>
  <c r="H30" i="3"/>
  <c r="I30" i="3"/>
  <c r="J30" i="3"/>
  <c r="K30" i="3"/>
  <c r="L30" i="3"/>
  <c r="M30" i="3"/>
  <c r="B90" i="3"/>
  <c r="C90" i="3"/>
  <c r="D90" i="3"/>
  <c r="E90" i="3"/>
  <c r="F90" i="3"/>
  <c r="G90" i="3"/>
  <c r="H90" i="3"/>
  <c r="I90" i="3"/>
  <c r="J90" i="3"/>
  <c r="K90" i="3"/>
  <c r="L90" i="3"/>
  <c r="M90" i="3"/>
  <c r="B60" i="3"/>
  <c r="C60" i="3"/>
  <c r="D60" i="3"/>
  <c r="E60" i="3"/>
  <c r="F60" i="3"/>
  <c r="G60" i="3"/>
  <c r="H60" i="3"/>
  <c r="I60" i="3"/>
  <c r="J60" i="3"/>
  <c r="K60" i="3"/>
  <c r="L60" i="3"/>
  <c r="M60" i="3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R41" i="2" l="1"/>
  <c r="M36" i="7" s="1"/>
  <c r="N5" i="7"/>
  <c r="C5" i="7"/>
  <c r="A5" i="7"/>
  <c r="H37" i="1" l="1"/>
  <c r="H95" i="1" s="1"/>
  <c r="S5" i="2"/>
  <c r="C5" i="2"/>
  <c r="C3" i="5" s="1"/>
  <c r="C6" i="1" s="1"/>
  <c r="C52" i="1" s="1"/>
  <c r="A5" i="2"/>
  <c r="C34" i="2" l="1"/>
  <c r="C33" i="5" s="1"/>
  <c r="P8" i="2"/>
  <c r="N8" i="2"/>
  <c r="L8" i="2"/>
  <c r="J8" i="2"/>
  <c r="I8" i="2"/>
  <c r="K7" i="5" s="1"/>
  <c r="H8" i="2"/>
  <c r="O8" i="2"/>
  <c r="M8" i="2"/>
  <c r="K8" i="2"/>
  <c r="F33" i="5"/>
  <c r="I33" i="5" s="1"/>
  <c r="M33" i="5" s="1"/>
  <c r="P33" i="5" s="1"/>
  <c r="A34" i="2"/>
  <c r="B34" i="2"/>
  <c r="B33" i="5" s="1"/>
  <c r="C33" i="2"/>
  <c r="R3" i="5"/>
  <c r="H10" i="1" s="1"/>
  <c r="B3" i="5"/>
  <c r="A3" i="5"/>
  <c r="A6" i="1" s="1"/>
  <c r="A52" i="1" s="1"/>
  <c r="B127" i="3"/>
  <c r="C127" i="3"/>
  <c r="D127" i="3"/>
  <c r="E127" i="3"/>
  <c r="F127" i="3"/>
  <c r="G127" i="3"/>
  <c r="H127" i="3"/>
  <c r="I127" i="3"/>
  <c r="J127" i="3"/>
  <c r="K127" i="3"/>
  <c r="L127" i="3"/>
  <c r="M127" i="3"/>
  <c r="B128" i="3"/>
  <c r="C128" i="3"/>
  <c r="D128" i="3"/>
  <c r="E128" i="3"/>
  <c r="F128" i="3"/>
  <c r="G128" i="3"/>
  <c r="H128" i="3"/>
  <c r="I128" i="3"/>
  <c r="J128" i="3"/>
  <c r="K128" i="3"/>
  <c r="L128" i="3"/>
  <c r="M128" i="3"/>
  <c r="B129" i="3"/>
  <c r="C129" i="3"/>
  <c r="D129" i="3"/>
  <c r="E129" i="3"/>
  <c r="F129" i="3"/>
  <c r="G129" i="3"/>
  <c r="H129" i="3"/>
  <c r="I129" i="3"/>
  <c r="J129" i="3"/>
  <c r="K129" i="3"/>
  <c r="L129" i="3"/>
  <c r="M129" i="3"/>
  <c r="B130" i="3"/>
  <c r="C130" i="3"/>
  <c r="D130" i="3"/>
  <c r="E130" i="3"/>
  <c r="F130" i="3"/>
  <c r="G130" i="3"/>
  <c r="H130" i="3"/>
  <c r="I130" i="3"/>
  <c r="J130" i="3"/>
  <c r="K130" i="3"/>
  <c r="L130" i="3"/>
  <c r="M130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B132" i="3"/>
  <c r="C132" i="3"/>
  <c r="D132" i="3"/>
  <c r="E132" i="3"/>
  <c r="F132" i="3"/>
  <c r="G132" i="3"/>
  <c r="H132" i="3"/>
  <c r="I132" i="3"/>
  <c r="J132" i="3"/>
  <c r="K132" i="3"/>
  <c r="L132" i="3"/>
  <c r="M132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B134" i="3"/>
  <c r="C134" i="3"/>
  <c r="D134" i="3"/>
  <c r="E134" i="3"/>
  <c r="F134" i="3"/>
  <c r="G134" i="3"/>
  <c r="H134" i="3"/>
  <c r="I134" i="3"/>
  <c r="J134" i="3"/>
  <c r="K134" i="3"/>
  <c r="L134" i="3"/>
  <c r="M134" i="3"/>
  <c r="B135" i="3"/>
  <c r="C135" i="3"/>
  <c r="D135" i="3"/>
  <c r="E135" i="3"/>
  <c r="F135" i="3"/>
  <c r="G135" i="3"/>
  <c r="H135" i="3"/>
  <c r="I135" i="3"/>
  <c r="J135" i="3"/>
  <c r="K135" i="3"/>
  <c r="L135" i="3"/>
  <c r="M135" i="3"/>
  <c r="B136" i="3"/>
  <c r="C136" i="3"/>
  <c r="D136" i="3"/>
  <c r="E136" i="3"/>
  <c r="F136" i="3"/>
  <c r="G136" i="3"/>
  <c r="H136" i="3"/>
  <c r="I136" i="3"/>
  <c r="J136" i="3"/>
  <c r="K136" i="3"/>
  <c r="L136" i="3"/>
  <c r="M136" i="3"/>
  <c r="B137" i="3"/>
  <c r="C137" i="3"/>
  <c r="D137" i="3"/>
  <c r="E137" i="3"/>
  <c r="F137" i="3"/>
  <c r="G137" i="3"/>
  <c r="H137" i="3"/>
  <c r="I137" i="3"/>
  <c r="J137" i="3"/>
  <c r="L137" i="3"/>
  <c r="M137" i="3"/>
  <c r="B138" i="3"/>
  <c r="C138" i="3"/>
  <c r="D138" i="3"/>
  <c r="E138" i="3"/>
  <c r="F138" i="3"/>
  <c r="G138" i="3"/>
  <c r="H138" i="3"/>
  <c r="I138" i="3"/>
  <c r="J138" i="3"/>
  <c r="K138" i="3"/>
  <c r="L138" i="3"/>
  <c r="M138" i="3"/>
  <c r="B139" i="3"/>
  <c r="C139" i="3"/>
  <c r="D139" i="3"/>
  <c r="E139" i="3"/>
  <c r="F139" i="3"/>
  <c r="G139" i="3"/>
  <c r="H139" i="3"/>
  <c r="I139" i="3"/>
  <c r="J139" i="3"/>
  <c r="K139" i="3"/>
  <c r="L139" i="3"/>
  <c r="M139" i="3"/>
  <c r="B140" i="3"/>
  <c r="C140" i="3"/>
  <c r="D140" i="3"/>
  <c r="E140" i="3"/>
  <c r="F140" i="3"/>
  <c r="G140" i="3"/>
  <c r="H140" i="3"/>
  <c r="I140" i="3"/>
  <c r="J140" i="3"/>
  <c r="K140" i="3"/>
  <c r="L140" i="3"/>
  <c r="M140" i="3"/>
  <c r="B141" i="3"/>
  <c r="C141" i="3"/>
  <c r="D141" i="3"/>
  <c r="E141" i="3"/>
  <c r="F141" i="3"/>
  <c r="G141" i="3"/>
  <c r="H141" i="3"/>
  <c r="I141" i="3"/>
  <c r="J141" i="3"/>
  <c r="K141" i="3"/>
  <c r="L141" i="3"/>
  <c r="M141" i="3"/>
  <c r="B142" i="3"/>
  <c r="C142" i="3"/>
  <c r="D142" i="3"/>
  <c r="E142" i="3"/>
  <c r="F142" i="3"/>
  <c r="G142" i="3"/>
  <c r="H142" i="3"/>
  <c r="I142" i="3"/>
  <c r="J142" i="3"/>
  <c r="K142" i="3"/>
  <c r="L142" i="3"/>
  <c r="M142" i="3"/>
  <c r="B143" i="3"/>
  <c r="C143" i="3"/>
  <c r="D143" i="3"/>
  <c r="E143" i="3"/>
  <c r="F143" i="3"/>
  <c r="G143" i="3"/>
  <c r="H143" i="3"/>
  <c r="I143" i="3"/>
  <c r="J143" i="3"/>
  <c r="K143" i="3"/>
  <c r="L143" i="3"/>
  <c r="M143" i="3"/>
  <c r="B144" i="3"/>
  <c r="C144" i="3"/>
  <c r="D144" i="3"/>
  <c r="E144" i="3"/>
  <c r="F144" i="3"/>
  <c r="G144" i="3"/>
  <c r="H144" i="3"/>
  <c r="I144" i="3"/>
  <c r="J144" i="3"/>
  <c r="K144" i="3"/>
  <c r="L144" i="3"/>
  <c r="M144" i="3"/>
  <c r="B145" i="3"/>
  <c r="C145" i="3"/>
  <c r="D145" i="3"/>
  <c r="E145" i="3"/>
  <c r="F145" i="3"/>
  <c r="G145" i="3"/>
  <c r="H145" i="3"/>
  <c r="I145" i="3"/>
  <c r="J145" i="3"/>
  <c r="K145" i="3"/>
  <c r="L145" i="3"/>
  <c r="M145" i="3"/>
  <c r="B146" i="3"/>
  <c r="C146" i="3"/>
  <c r="D146" i="3"/>
  <c r="E146" i="3"/>
  <c r="F146" i="3"/>
  <c r="G146" i="3"/>
  <c r="H146" i="3"/>
  <c r="I146" i="3"/>
  <c r="J146" i="3"/>
  <c r="K146" i="3"/>
  <c r="L146" i="3"/>
  <c r="M146" i="3"/>
  <c r="B147" i="3"/>
  <c r="C147" i="3"/>
  <c r="D147" i="3"/>
  <c r="E147" i="3"/>
  <c r="F147" i="3"/>
  <c r="G147" i="3"/>
  <c r="H147" i="3"/>
  <c r="I147" i="3"/>
  <c r="J147" i="3"/>
  <c r="K147" i="3"/>
  <c r="L147" i="3"/>
  <c r="M147" i="3"/>
  <c r="B148" i="3"/>
  <c r="C148" i="3"/>
  <c r="D148" i="3"/>
  <c r="E148" i="3"/>
  <c r="F148" i="3"/>
  <c r="G148" i="3"/>
  <c r="H148" i="3"/>
  <c r="I148" i="3"/>
  <c r="J148" i="3"/>
  <c r="K148" i="3"/>
  <c r="L148" i="3"/>
  <c r="M148" i="3"/>
  <c r="B149" i="3"/>
  <c r="C149" i="3"/>
  <c r="D149" i="3"/>
  <c r="E149" i="3"/>
  <c r="F149" i="3"/>
  <c r="G149" i="3"/>
  <c r="H149" i="3"/>
  <c r="I149" i="3"/>
  <c r="J149" i="3"/>
  <c r="K149" i="3"/>
  <c r="L149" i="3"/>
  <c r="M149" i="3"/>
  <c r="M126" i="3"/>
  <c r="L126" i="3"/>
  <c r="K126" i="3"/>
  <c r="J126" i="3"/>
  <c r="I126" i="3"/>
  <c r="H126" i="3"/>
  <c r="G126" i="3"/>
  <c r="F126" i="3"/>
  <c r="E126" i="3"/>
  <c r="D126" i="3"/>
  <c r="C126" i="3"/>
  <c r="B126" i="3"/>
  <c r="E33" i="5" l="1"/>
  <c r="H33" i="5" s="1"/>
  <c r="D33" i="5"/>
  <c r="G33" i="5" s="1"/>
  <c r="J33" i="5" s="1"/>
  <c r="N33" i="5" s="1"/>
  <c r="Q33" i="5" s="1"/>
  <c r="A33" i="2"/>
  <c r="A32" i="5" s="1"/>
  <c r="C32" i="5"/>
  <c r="R34" i="2"/>
  <c r="A33" i="5"/>
  <c r="A33" i="7"/>
  <c r="B33" i="2"/>
  <c r="C33" i="7"/>
  <c r="C34" i="7"/>
  <c r="B34" i="7"/>
  <c r="V33" i="2"/>
  <c r="S32" i="5" s="1"/>
  <c r="T32" i="5" s="1"/>
  <c r="V34" i="2"/>
  <c r="S33" i="5" s="1"/>
  <c r="T33" i="5" s="1"/>
  <c r="A34" i="7"/>
  <c r="B29" i="1"/>
  <c r="H56" i="1"/>
  <c r="B26" i="1"/>
  <c r="Q46" i="2"/>
  <c r="E36" i="2"/>
  <c r="F36" i="2"/>
  <c r="G36" i="2"/>
  <c r="H36" i="2"/>
  <c r="J36" i="2"/>
  <c r="K36" i="2"/>
  <c r="L36" i="2"/>
  <c r="M36" i="2"/>
  <c r="N36" i="2"/>
  <c r="O36" i="2"/>
  <c r="P36" i="2"/>
  <c r="D36" i="2"/>
  <c r="E37" i="2"/>
  <c r="F37" i="2"/>
  <c r="G37" i="2"/>
  <c r="H37" i="2"/>
  <c r="J37" i="2"/>
  <c r="K37" i="2"/>
  <c r="L37" i="2"/>
  <c r="M37" i="2"/>
  <c r="N37" i="2"/>
  <c r="O37" i="2"/>
  <c r="P37" i="2"/>
  <c r="E38" i="2"/>
  <c r="F38" i="2"/>
  <c r="G38" i="2"/>
  <c r="H38" i="2"/>
  <c r="J38" i="2"/>
  <c r="K38" i="2"/>
  <c r="L38" i="2"/>
  <c r="M38" i="2"/>
  <c r="N38" i="2"/>
  <c r="O38" i="2"/>
  <c r="P38" i="2"/>
  <c r="D38" i="2"/>
  <c r="D37" i="2"/>
  <c r="Q7" i="5"/>
  <c r="R7" i="5"/>
  <c r="L33" i="5" l="1"/>
  <c r="O33" i="5" s="1"/>
  <c r="R33" i="5" s="1"/>
  <c r="K33" i="5"/>
  <c r="B33" i="7"/>
  <c r="B32" i="5"/>
  <c r="E32" i="5"/>
  <c r="H32" i="5" s="1"/>
  <c r="D32" i="5"/>
  <c r="G32" i="5" s="1"/>
  <c r="J32" i="5" s="1"/>
  <c r="N32" i="5" s="1"/>
  <c r="Q32" i="5" s="1"/>
  <c r="F32" i="5"/>
  <c r="I32" i="5" s="1"/>
  <c r="M32" i="5" s="1"/>
  <c r="P32" i="5" s="1"/>
  <c r="Q34" i="2"/>
  <c r="Q33" i="2"/>
  <c r="R33" i="2"/>
  <c r="G42" i="1"/>
  <c r="G100" i="1" s="1"/>
  <c r="L41" i="7"/>
  <c r="P7" i="5"/>
  <c r="O7" i="5"/>
  <c r="N7" i="5"/>
  <c r="M7" i="5"/>
  <c r="L7" i="5"/>
  <c r="J7" i="5"/>
  <c r="G8" i="2"/>
  <c r="I7" i="5" s="1"/>
  <c r="F8" i="2"/>
  <c r="H7" i="5" s="1"/>
  <c r="E8" i="2"/>
  <c r="G7" i="5" s="1"/>
  <c r="D8" i="2"/>
  <c r="F7" i="5" s="1"/>
  <c r="B97" i="3"/>
  <c r="C97" i="3"/>
  <c r="D97" i="3"/>
  <c r="E97" i="3"/>
  <c r="F97" i="3"/>
  <c r="G97" i="3"/>
  <c r="H97" i="3"/>
  <c r="I97" i="3"/>
  <c r="J97" i="3"/>
  <c r="K97" i="3"/>
  <c r="L97" i="3"/>
  <c r="M97" i="3"/>
  <c r="B98" i="3"/>
  <c r="C98" i="3"/>
  <c r="D98" i="3"/>
  <c r="E98" i="3"/>
  <c r="F98" i="3"/>
  <c r="G98" i="3"/>
  <c r="H98" i="3"/>
  <c r="I98" i="3"/>
  <c r="J98" i="3"/>
  <c r="K98" i="3"/>
  <c r="L98" i="3"/>
  <c r="M98" i="3"/>
  <c r="B99" i="3"/>
  <c r="C99" i="3"/>
  <c r="D99" i="3"/>
  <c r="E99" i="3"/>
  <c r="F99" i="3"/>
  <c r="G99" i="3"/>
  <c r="H99" i="3"/>
  <c r="I99" i="3"/>
  <c r="J99" i="3"/>
  <c r="K99" i="3"/>
  <c r="L99" i="3"/>
  <c r="M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B106" i="3"/>
  <c r="C106" i="3"/>
  <c r="D106" i="3"/>
  <c r="E106" i="3"/>
  <c r="F106" i="3"/>
  <c r="G106" i="3"/>
  <c r="H106" i="3"/>
  <c r="I106" i="3"/>
  <c r="J106" i="3"/>
  <c r="K106" i="3"/>
  <c r="L106" i="3"/>
  <c r="M106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B109" i="3"/>
  <c r="C109" i="3"/>
  <c r="D109" i="3"/>
  <c r="E109" i="3"/>
  <c r="F109" i="3"/>
  <c r="G109" i="3"/>
  <c r="H109" i="3"/>
  <c r="I109" i="3"/>
  <c r="J109" i="3"/>
  <c r="K109" i="3"/>
  <c r="L109" i="3"/>
  <c r="M109" i="3"/>
  <c r="B110" i="3"/>
  <c r="C110" i="3"/>
  <c r="D110" i="3"/>
  <c r="E110" i="3"/>
  <c r="F110" i="3"/>
  <c r="G110" i="3"/>
  <c r="H110" i="3"/>
  <c r="I110" i="3"/>
  <c r="J110" i="3"/>
  <c r="K110" i="3"/>
  <c r="L110" i="3"/>
  <c r="M110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B117" i="3"/>
  <c r="C117" i="3"/>
  <c r="D117" i="3"/>
  <c r="E117" i="3"/>
  <c r="F117" i="3"/>
  <c r="G117" i="3"/>
  <c r="H117" i="3"/>
  <c r="I117" i="3"/>
  <c r="J117" i="3"/>
  <c r="K117" i="3"/>
  <c r="L117" i="3"/>
  <c r="M117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B119" i="3"/>
  <c r="C119" i="3"/>
  <c r="D119" i="3"/>
  <c r="E119" i="3"/>
  <c r="F119" i="3"/>
  <c r="G119" i="3"/>
  <c r="H119" i="3"/>
  <c r="I119" i="3"/>
  <c r="J119" i="3"/>
  <c r="K119" i="3"/>
  <c r="L119" i="3"/>
  <c r="M119" i="3"/>
  <c r="M96" i="3"/>
  <c r="L96" i="3"/>
  <c r="K96" i="3"/>
  <c r="J96" i="3"/>
  <c r="I96" i="3"/>
  <c r="H96" i="3"/>
  <c r="G96" i="3"/>
  <c r="F96" i="3"/>
  <c r="E96" i="3"/>
  <c r="D96" i="3"/>
  <c r="C96" i="3"/>
  <c r="B96" i="3"/>
  <c r="B67" i="3"/>
  <c r="C67" i="3"/>
  <c r="D67" i="3"/>
  <c r="E67" i="3"/>
  <c r="F67" i="3"/>
  <c r="G67" i="3"/>
  <c r="H67" i="3"/>
  <c r="I67" i="3"/>
  <c r="J67" i="3"/>
  <c r="K67" i="3"/>
  <c r="L67" i="3"/>
  <c r="M67" i="3"/>
  <c r="B68" i="3"/>
  <c r="C68" i="3"/>
  <c r="D68" i="3"/>
  <c r="E68" i="3"/>
  <c r="F68" i="3"/>
  <c r="G68" i="3"/>
  <c r="H68" i="3"/>
  <c r="I68" i="3"/>
  <c r="J68" i="3"/>
  <c r="K68" i="3"/>
  <c r="L68" i="3"/>
  <c r="M68" i="3"/>
  <c r="B69" i="3"/>
  <c r="C69" i="3"/>
  <c r="D69" i="3"/>
  <c r="E69" i="3"/>
  <c r="F69" i="3"/>
  <c r="G69" i="3"/>
  <c r="H69" i="3"/>
  <c r="I69" i="3"/>
  <c r="J69" i="3"/>
  <c r="K69" i="3"/>
  <c r="L69" i="3"/>
  <c r="M69" i="3"/>
  <c r="B70" i="3"/>
  <c r="C70" i="3"/>
  <c r="D70" i="3"/>
  <c r="E70" i="3"/>
  <c r="F70" i="3"/>
  <c r="G70" i="3"/>
  <c r="H70" i="3"/>
  <c r="I70" i="3"/>
  <c r="J70" i="3"/>
  <c r="K70" i="3"/>
  <c r="L70" i="3"/>
  <c r="M70" i="3"/>
  <c r="B71" i="3"/>
  <c r="C71" i="3"/>
  <c r="D71" i="3"/>
  <c r="E71" i="3"/>
  <c r="F71" i="3"/>
  <c r="G71" i="3"/>
  <c r="H71" i="3"/>
  <c r="I71" i="3"/>
  <c r="J71" i="3"/>
  <c r="K71" i="3"/>
  <c r="L71" i="3"/>
  <c r="M71" i="3"/>
  <c r="B72" i="3"/>
  <c r="C72" i="3"/>
  <c r="D72" i="3"/>
  <c r="E72" i="3"/>
  <c r="F72" i="3"/>
  <c r="G72" i="3"/>
  <c r="H72" i="3"/>
  <c r="I72" i="3"/>
  <c r="J72" i="3"/>
  <c r="K72" i="3"/>
  <c r="L72" i="3"/>
  <c r="M72" i="3"/>
  <c r="B73" i="3"/>
  <c r="C73" i="3"/>
  <c r="D73" i="3"/>
  <c r="E73" i="3"/>
  <c r="F73" i="3"/>
  <c r="G73" i="3"/>
  <c r="H73" i="3"/>
  <c r="I73" i="3"/>
  <c r="J73" i="3"/>
  <c r="K73" i="3"/>
  <c r="L73" i="3"/>
  <c r="M73" i="3"/>
  <c r="B74" i="3"/>
  <c r="C74" i="3"/>
  <c r="D74" i="3"/>
  <c r="E74" i="3"/>
  <c r="F74" i="3"/>
  <c r="G74" i="3"/>
  <c r="H74" i="3"/>
  <c r="I74" i="3"/>
  <c r="J74" i="3"/>
  <c r="K74" i="3"/>
  <c r="L74" i="3"/>
  <c r="M74" i="3"/>
  <c r="B75" i="3"/>
  <c r="C75" i="3"/>
  <c r="D75" i="3"/>
  <c r="E75" i="3"/>
  <c r="F75" i="3"/>
  <c r="G75" i="3"/>
  <c r="H75" i="3"/>
  <c r="I75" i="3"/>
  <c r="J75" i="3"/>
  <c r="K75" i="3"/>
  <c r="L75" i="3"/>
  <c r="M75" i="3"/>
  <c r="B76" i="3"/>
  <c r="C76" i="3"/>
  <c r="D76" i="3"/>
  <c r="E76" i="3"/>
  <c r="F76" i="3"/>
  <c r="G76" i="3"/>
  <c r="H76" i="3"/>
  <c r="I76" i="3"/>
  <c r="J76" i="3"/>
  <c r="K76" i="3"/>
  <c r="L76" i="3"/>
  <c r="M76" i="3"/>
  <c r="B77" i="3"/>
  <c r="C77" i="3"/>
  <c r="D77" i="3"/>
  <c r="E77" i="3"/>
  <c r="F77" i="3"/>
  <c r="G77" i="3"/>
  <c r="H77" i="3"/>
  <c r="I77" i="3"/>
  <c r="J77" i="3"/>
  <c r="K77" i="3"/>
  <c r="L77" i="3"/>
  <c r="M77" i="3"/>
  <c r="B78" i="3"/>
  <c r="C78" i="3"/>
  <c r="D78" i="3"/>
  <c r="E78" i="3"/>
  <c r="F78" i="3"/>
  <c r="G78" i="3"/>
  <c r="H78" i="3"/>
  <c r="I78" i="3"/>
  <c r="J78" i="3"/>
  <c r="K78" i="3"/>
  <c r="L78" i="3"/>
  <c r="M78" i="3"/>
  <c r="B79" i="3"/>
  <c r="C79" i="3"/>
  <c r="D79" i="3"/>
  <c r="E79" i="3"/>
  <c r="F79" i="3"/>
  <c r="G79" i="3"/>
  <c r="H79" i="3"/>
  <c r="I79" i="3"/>
  <c r="J79" i="3"/>
  <c r="K79" i="3"/>
  <c r="L79" i="3"/>
  <c r="M79" i="3"/>
  <c r="B80" i="3"/>
  <c r="C80" i="3"/>
  <c r="D80" i="3"/>
  <c r="E80" i="3"/>
  <c r="F80" i="3"/>
  <c r="G80" i="3"/>
  <c r="H80" i="3"/>
  <c r="I80" i="3"/>
  <c r="J80" i="3"/>
  <c r="K80" i="3"/>
  <c r="L80" i="3"/>
  <c r="M80" i="3"/>
  <c r="B81" i="3"/>
  <c r="C81" i="3"/>
  <c r="D81" i="3"/>
  <c r="E81" i="3"/>
  <c r="F81" i="3"/>
  <c r="G81" i="3"/>
  <c r="H81" i="3"/>
  <c r="I81" i="3"/>
  <c r="J81" i="3"/>
  <c r="K81" i="3"/>
  <c r="L81" i="3"/>
  <c r="M81" i="3"/>
  <c r="B82" i="3"/>
  <c r="C82" i="3"/>
  <c r="D82" i="3"/>
  <c r="E82" i="3"/>
  <c r="F82" i="3"/>
  <c r="G82" i="3"/>
  <c r="H82" i="3"/>
  <c r="I82" i="3"/>
  <c r="J82" i="3"/>
  <c r="K82" i="3"/>
  <c r="L82" i="3"/>
  <c r="M82" i="3"/>
  <c r="B83" i="3"/>
  <c r="C83" i="3"/>
  <c r="D83" i="3"/>
  <c r="E83" i="3"/>
  <c r="F83" i="3"/>
  <c r="G83" i="3"/>
  <c r="H83" i="3"/>
  <c r="I83" i="3"/>
  <c r="J83" i="3"/>
  <c r="K83" i="3"/>
  <c r="L83" i="3"/>
  <c r="M83" i="3"/>
  <c r="B84" i="3"/>
  <c r="C84" i="3"/>
  <c r="D84" i="3"/>
  <c r="E84" i="3"/>
  <c r="F84" i="3"/>
  <c r="G84" i="3"/>
  <c r="H84" i="3"/>
  <c r="I84" i="3"/>
  <c r="J84" i="3"/>
  <c r="K84" i="3"/>
  <c r="L84" i="3"/>
  <c r="M84" i="3"/>
  <c r="B85" i="3"/>
  <c r="C85" i="3"/>
  <c r="D85" i="3"/>
  <c r="E85" i="3"/>
  <c r="F85" i="3"/>
  <c r="G85" i="3"/>
  <c r="H85" i="3"/>
  <c r="I85" i="3"/>
  <c r="J85" i="3"/>
  <c r="K85" i="3"/>
  <c r="L85" i="3"/>
  <c r="M85" i="3"/>
  <c r="B86" i="3"/>
  <c r="C86" i="3"/>
  <c r="D86" i="3"/>
  <c r="E86" i="3"/>
  <c r="F86" i="3"/>
  <c r="G86" i="3"/>
  <c r="H86" i="3"/>
  <c r="I86" i="3"/>
  <c r="J86" i="3"/>
  <c r="K86" i="3"/>
  <c r="L86" i="3"/>
  <c r="M86" i="3"/>
  <c r="B87" i="3"/>
  <c r="C87" i="3"/>
  <c r="D87" i="3"/>
  <c r="E87" i="3"/>
  <c r="F87" i="3"/>
  <c r="G87" i="3"/>
  <c r="H87" i="3"/>
  <c r="I87" i="3"/>
  <c r="J87" i="3"/>
  <c r="K87" i="3"/>
  <c r="L87" i="3"/>
  <c r="M87" i="3"/>
  <c r="B88" i="3"/>
  <c r="C88" i="3"/>
  <c r="D88" i="3"/>
  <c r="E88" i="3"/>
  <c r="F88" i="3"/>
  <c r="G88" i="3"/>
  <c r="H88" i="3"/>
  <c r="I88" i="3"/>
  <c r="J88" i="3"/>
  <c r="K88" i="3"/>
  <c r="L88" i="3"/>
  <c r="M88" i="3"/>
  <c r="B89" i="3"/>
  <c r="C89" i="3"/>
  <c r="D89" i="3"/>
  <c r="E89" i="3"/>
  <c r="F89" i="3"/>
  <c r="G89" i="3"/>
  <c r="H89" i="3"/>
  <c r="I89" i="3"/>
  <c r="J89" i="3"/>
  <c r="K89" i="3"/>
  <c r="L89" i="3"/>
  <c r="M89" i="3"/>
  <c r="M66" i="3"/>
  <c r="L66" i="3"/>
  <c r="K66" i="3"/>
  <c r="J66" i="3"/>
  <c r="I66" i="3"/>
  <c r="H66" i="3"/>
  <c r="G66" i="3"/>
  <c r="F66" i="3"/>
  <c r="E66" i="3"/>
  <c r="D66" i="3"/>
  <c r="C66" i="3"/>
  <c r="B66" i="3"/>
  <c r="C37" i="3"/>
  <c r="D37" i="3"/>
  <c r="E37" i="3"/>
  <c r="F37" i="3"/>
  <c r="G37" i="3"/>
  <c r="H37" i="3"/>
  <c r="I37" i="3"/>
  <c r="J37" i="3"/>
  <c r="K37" i="3"/>
  <c r="L37" i="3"/>
  <c r="M37" i="3"/>
  <c r="C38" i="3"/>
  <c r="D38" i="3"/>
  <c r="E38" i="3"/>
  <c r="F38" i="3"/>
  <c r="G38" i="3"/>
  <c r="H38" i="3"/>
  <c r="I38" i="3"/>
  <c r="J38" i="3"/>
  <c r="K38" i="3"/>
  <c r="L38" i="3"/>
  <c r="M38" i="3"/>
  <c r="C39" i="3"/>
  <c r="D39" i="3"/>
  <c r="E39" i="3"/>
  <c r="F39" i="3"/>
  <c r="G39" i="3"/>
  <c r="H39" i="3"/>
  <c r="I39" i="3"/>
  <c r="J39" i="3"/>
  <c r="K39" i="3"/>
  <c r="L39" i="3"/>
  <c r="M39" i="3"/>
  <c r="C40" i="3"/>
  <c r="D40" i="3"/>
  <c r="E40" i="3"/>
  <c r="F40" i="3"/>
  <c r="G40" i="3"/>
  <c r="H40" i="3"/>
  <c r="I40" i="3"/>
  <c r="J40" i="3"/>
  <c r="K40" i="3"/>
  <c r="L40" i="3"/>
  <c r="M40" i="3"/>
  <c r="C41" i="3"/>
  <c r="D41" i="3"/>
  <c r="E41" i="3"/>
  <c r="F41" i="3"/>
  <c r="G41" i="3"/>
  <c r="H41" i="3"/>
  <c r="I41" i="3"/>
  <c r="J41" i="3"/>
  <c r="K41" i="3"/>
  <c r="L41" i="3"/>
  <c r="M41" i="3"/>
  <c r="C42" i="3"/>
  <c r="D42" i="3"/>
  <c r="E42" i="3"/>
  <c r="F42" i="3"/>
  <c r="G42" i="3"/>
  <c r="H42" i="3"/>
  <c r="I42" i="3"/>
  <c r="J42" i="3"/>
  <c r="K42" i="3"/>
  <c r="L42" i="3"/>
  <c r="M42" i="3"/>
  <c r="C43" i="3"/>
  <c r="D43" i="3"/>
  <c r="E43" i="3"/>
  <c r="F43" i="3"/>
  <c r="G43" i="3"/>
  <c r="H43" i="3"/>
  <c r="I43" i="3"/>
  <c r="J43" i="3"/>
  <c r="K43" i="3"/>
  <c r="L43" i="3"/>
  <c r="M43" i="3"/>
  <c r="C44" i="3"/>
  <c r="D44" i="3"/>
  <c r="E44" i="3"/>
  <c r="F44" i="3"/>
  <c r="G44" i="3"/>
  <c r="H44" i="3"/>
  <c r="I44" i="3"/>
  <c r="J44" i="3"/>
  <c r="K44" i="3"/>
  <c r="L44" i="3"/>
  <c r="M44" i="3"/>
  <c r="C45" i="3"/>
  <c r="D45" i="3"/>
  <c r="E45" i="3"/>
  <c r="F45" i="3"/>
  <c r="G45" i="3"/>
  <c r="H45" i="3"/>
  <c r="I45" i="3"/>
  <c r="J45" i="3"/>
  <c r="K45" i="3"/>
  <c r="L45" i="3"/>
  <c r="M45" i="3"/>
  <c r="C46" i="3"/>
  <c r="D46" i="3"/>
  <c r="E46" i="3"/>
  <c r="F46" i="3"/>
  <c r="G46" i="3"/>
  <c r="H46" i="3"/>
  <c r="I46" i="3"/>
  <c r="J46" i="3"/>
  <c r="K46" i="3"/>
  <c r="L46" i="3"/>
  <c r="M46" i="3"/>
  <c r="C47" i="3"/>
  <c r="D47" i="3"/>
  <c r="E47" i="3"/>
  <c r="F47" i="3"/>
  <c r="G47" i="3"/>
  <c r="H47" i="3"/>
  <c r="I47" i="3"/>
  <c r="J47" i="3"/>
  <c r="K47" i="3"/>
  <c r="L47" i="3"/>
  <c r="M47" i="3"/>
  <c r="C48" i="3"/>
  <c r="D48" i="3"/>
  <c r="E48" i="3"/>
  <c r="F48" i="3"/>
  <c r="G48" i="3"/>
  <c r="H48" i="3"/>
  <c r="I48" i="3"/>
  <c r="J48" i="3"/>
  <c r="K48" i="3"/>
  <c r="L48" i="3"/>
  <c r="M48" i="3"/>
  <c r="C49" i="3"/>
  <c r="D49" i="3"/>
  <c r="E49" i="3"/>
  <c r="F49" i="3"/>
  <c r="G49" i="3"/>
  <c r="H49" i="3"/>
  <c r="I49" i="3"/>
  <c r="J49" i="3"/>
  <c r="K49" i="3"/>
  <c r="L49" i="3"/>
  <c r="M49" i="3"/>
  <c r="C50" i="3"/>
  <c r="D50" i="3"/>
  <c r="E50" i="3"/>
  <c r="F50" i="3"/>
  <c r="G50" i="3"/>
  <c r="H50" i="3"/>
  <c r="I50" i="3"/>
  <c r="J50" i="3"/>
  <c r="K50" i="3"/>
  <c r="L50" i="3"/>
  <c r="M50" i="3"/>
  <c r="C51" i="3"/>
  <c r="D51" i="3"/>
  <c r="E51" i="3"/>
  <c r="F51" i="3"/>
  <c r="G51" i="3"/>
  <c r="H51" i="3"/>
  <c r="I51" i="3"/>
  <c r="J51" i="3"/>
  <c r="K51" i="3"/>
  <c r="L51" i="3"/>
  <c r="M51" i="3"/>
  <c r="C52" i="3"/>
  <c r="D52" i="3"/>
  <c r="E52" i="3"/>
  <c r="F52" i="3"/>
  <c r="G52" i="3"/>
  <c r="H52" i="3"/>
  <c r="I52" i="3"/>
  <c r="J52" i="3"/>
  <c r="K52" i="3"/>
  <c r="L52" i="3"/>
  <c r="M52" i="3"/>
  <c r="C53" i="3"/>
  <c r="D53" i="3"/>
  <c r="E53" i="3"/>
  <c r="F53" i="3"/>
  <c r="G53" i="3"/>
  <c r="H53" i="3"/>
  <c r="I53" i="3"/>
  <c r="J53" i="3"/>
  <c r="K53" i="3"/>
  <c r="L53" i="3"/>
  <c r="M53" i="3"/>
  <c r="C54" i="3"/>
  <c r="D54" i="3"/>
  <c r="E54" i="3"/>
  <c r="F54" i="3"/>
  <c r="G54" i="3"/>
  <c r="H54" i="3"/>
  <c r="I54" i="3"/>
  <c r="J54" i="3"/>
  <c r="K54" i="3"/>
  <c r="L54" i="3"/>
  <c r="M54" i="3"/>
  <c r="C55" i="3"/>
  <c r="D55" i="3"/>
  <c r="E55" i="3"/>
  <c r="F55" i="3"/>
  <c r="G55" i="3"/>
  <c r="H55" i="3"/>
  <c r="I55" i="3"/>
  <c r="J55" i="3"/>
  <c r="K55" i="3"/>
  <c r="L55" i="3"/>
  <c r="M55" i="3"/>
  <c r="C56" i="3"/>
  <c r="D56" i="3"/>
  <c r="E56" i="3"/>
  <c r="F56" i="3"/>
  <c r="G56" i="3"/>
  <c r="H56" i="3"/>
  <c r="I56" i="3"/>
  <c r="J56" i="3"/>
  <c r="K56" i="3"/>
  <c r="L56" i="3"/>
  <c r="M56" i="3"/>
  <c r="C57" i="3"/>
  <c r="D57" i="3"/>
  <c r="E57" i="3"/>
  <c r="F57" i="3"/>
  <c r="G57" i="3"/>
  <c r="H57" i="3"/>
  <c r="I57" i="3"/>
  <c r="J57" i="3"/>
  <c r="K57" i="3"/>
  <c r="L57" i="3"/>
  <c r="M57" i="3"/>
  <c r="C58" i="3"/>
  <c r="D58" i="3"/>
  <c r="E58" i="3"/>
  <c r="F58" i="3"/>
  <c r="G58" i="3"/>
  <c r="H58" i="3"/>
  <c r="I58" i="3"/>
  <c r="J58" i="3"/>
  <c r="K58" i="3"/>
  <c r="L58" i="3"/>
  <c r="M58" i="3"/>
  <c r="C59" i="3"/>
  <c r="D59" i="3"/>
  <c r="E59" i="3"/>
  <c r="F59" i="3"/>
  <c r="G59" i="3"/>
  <c r="H59" i="3"/>
  <c r="I59" i="3"/>
  <c r="J59" i="3"/>
  <c r="K59" i="3"/>
  <c r="L59" i="3"/>
  <c r="M59" i="3"/>
  <c r="M36" i="3"/>
  <c r="L36" i="3"/>
  <c r="K36" i="3"/>
  <c r="J36" i="3"/>
  <c r="I36" i="3"/>
  <c r="H36" i="3"/>
  <c r="G36" i="3"/>
  <c r="F36" i="3"/>
  <c r="E36" i="3"/>
  <c r="D36" i="3"/>
  <c r="C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3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6" i="3"/>
  <c r="H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6" i="3"/>
  <c r="F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6" i="3"/>
  <c r="L32" i="5" l="1"/>
  <c r="O32" i="5" s="1"/>
  <c r="R32" i="5" s="1"/>
  <c r="K32" i="5"/>
  <c r="C26" i="2"/>
  <c r="C26" i="7" s="1"/>
  <c r="C25" i="2"/>
  <c r="C25" i="7" s="1"/>
  <c r="C24" i="2"/>
  <c r="C24" i="7" s="1"/>
  <c r="C23" i="2"/>
  <c r="C23" i="7" s="1"/>
  <c r="C22" i="2"/>
  <c r="C22" i="7" s="1"/>
  <c r="C21" i="2"/>
  <c r="C21" i="7" s="1"/>
  <c r="C20" i="2"/>
  <c r="C20" i="7" s="1"/>
  <c r="C19" i="2"/>
  <c r="C19" i="7" s="1"/>
  <c r="C18" i="2"/>
  <c r="C18" i="7" s="1"/>
  <c r="C17" i="2"/>
  <c r="C17" i="7" s="1"/>
  <c r="C16" i="2"/>
  <c r="C16" i="7" s="1"/>
  <c r="C15" i="2"/>
  <c r="C15" i="7" s="1"/>
  <c r="C14" i="2"/>
  <c r="C14" i="7" s="1"/>
  <c r="C13" i="2"/>
  <c r="C13" i="7" s="1"/>
  <c r="C12" i="2"/>
  <c r="C12" i="7" s="1"/>
  <c r="C11" i="2"/>
  <c r="C11" i="7" s="1"/>
  <c r="C10" i="2"/>
  <c r="C10" i="7" s="1"/>
  <c r="C9" i="2"/>
  <c r="C9" i="7" s="1"/>
  <c r="C32" i="2"/>
  <c r="C31" i="2"/>
  <c r="C31" i="7" s="1"/>
  <c r="C30" i="2"/>
  <c r="C30" i="7" s="1"/>
  <c r="C29" i="2"/>
  <c r="C29" i="7" s="1"/>
  <c r="C28" i="2"/>
  <c r="C28" i="7" s="1"/>
  <c r="C27" i="2"/>
  <c r="C27" i="7" l="1"/>
  <c r="B27" i="2"/>
  <c r="C32" i="7"/>
  <c r="B32" i="2"/>
  <c r="V10" i="2"/>
  <c r="S9" i="5" s="1"/>
  <c r="T9" i="5" s="1"/>
  <c r="C9" i="5"/>
  <c r="V18" i="2"/>
  <c r="S17" i="5" s="1"/>
  <c r="T17" i="5" s="1"/>
  <c r="C17" i="5"/>
  <c r="V22" i="2"/>
  <c r="S21" i="5" s="1"/>
  <c r="T21" i="5" s="1"/>
  <c r="C21" i="5"/>
  <c r="V27" i="2"/>
  <c r="S26" i="5" s="1"/>
  <c r="T26" i="5" s="1"/>
  <c r="C26" i="5"/>
  <c r="V31" i="2"/>
  <c r="S30" i="5" s="1"/>
  <c r="T30" i="5" s="1"/>
  <c r="C30" i="5"/>
  <c r="V11" i="2"/>
  <c r="S10" i="5" s="1"/>
  <c r="T10" i="5" s="1"/>
  <c r="C10" i="5"/>
  <c r="V15" i="2"/>
  <c r="S14" i="5" s="1"/>
  <c r="T14" i="5" s="1"/>
  <c r="C14" i="5"/>
  <c r="V19" i="2"/>
  <c r="S18" i="5" s="1"/>
  <c r="T18" i="5" s="1"/>
  <c r="C18" i="5"/>
  <c r="V23" i="2"/>
  <c r="S22" i="5" s="1"/>
  <c r="T22" i="5" s="1"/>
  <c r="C22" i="5"/>
  <c r="V12" i="2"/>
  <c r="S11" i="5" s="1"/>
  <c r="T11" i="5" s="1"/>
  <c r="C11" i="5"/>
  <c r="V24" i="2"/>
  <c r="S23" i="5" s="1"/>
  <c r="T23" i="5" s="1"/>
  <c r="C23" i="5"/>
  <c r="V28" i="2"/>
  <c r="S27" i="5" s="1"/>
  <c r="T27" i="5" s="1"/>
  <c r="C27" i="5"/>
  <c r="V32" i="2"/>
  <c r="S31" i="5" s="1"/>
  <c r="T31" i="5" s="1"/>
  <c r="C31" i="5"/>
  <c r="V16" i="2"/>
  <c r="S15" i="5" s="1"/>
  <c r="T15" i="5" s="1"/>
  <c r="C15" i="5"/>
  <c r="V20" i="2"/>
  <c r="S19" i="5" s="1"/>
  <c r="T19" i="5" s="1"/>
  <c r="C19" i="5"/>
  <c r="V29" i="2"/>
  <c r="S28" i="5" s="1"/>
  <c r="T28" i="5" s="1"/>
  <c r="C28" i="5"/>
  <c r="V9" i="2"/>
  <c r="S8" i="5" s="1"/>
  <c r="C8" i="5"/>
  <c r="F8" i="5" s="1"/>
  <c r="I8" i="5" s="1"/>
  <c r="M8" i="5" s="1"/>
  <c r="P8" i="5" s="1"/>
  <c r="V13" i="2"/>
  <c r="S12" i="5" s="1"/>
  <c r="T12" i="5" s="1"/>
  <c r="C12" i="5"/>
  <c r="V17" i="2"/>
  <c r="S16" i="5" s="1"/>
  <c r="T16" i="5" s="1"/>
  <c r="C16" i="5"/>
  <c r="V21" i="2"/>
  <c r="S20" i="5" s="1"/>
  <c r="T20" i="5" s="1"/>
  <c r="C20" i="5"/>
  <c r="V25" i="2"/>
  <c r="S24" i="5" s="1"/>
  <c r="T24" i="5" s="1"/>
  <c r="C24" i="5"/>
  <c r="V30" i="2"/>
  <c r="S29" i="5" s="1"/>
  <c r="T29" i="5" s="1"/>
  <c r="C29" i="5"/>
  <c r="V14" i="2"/>
  <c r="S13" i="5" s="1"/>
  <c r="T13" i="5" s="1"/>
  <c r="C13" i="5"/>
  <c r="V26" i="2"/>
  <c r="S25" i="5" s="1"/>
  <c r="T25" i="5" s="1"/>
  <c r="C25" i="5"/>
  <c r="A27" i="2"/>
  <c r="A31" i="2"/>
  <c r="A31" i="7" s="1"/>
  <c r="B31" i="2"/>
  <c r="A11" i="2"/>
  <c r="R11" i="2" s="1"/>
  <c r="B11" i="2"/>
  <c r="A15" i="2"/>
  <c r="B15" i="2"/>
  <c r="A19" i="2"/>
  <c r="B19" i="2"/>
  <c r="A23" i="2"/>
  <c r="B23" i="2"/>
  <c r="A28" i="2"/>
  <c r="B28" i="2"/>
  <c r="A32" i="2"/>
  <c r="A12" i="2"/>
  <c r="B12" i="2"/>
  <c r="A16" i="2"/>
  <c r="B16" i="2"/>
  <c r="A20" i="2"/>
  <c r="B20" i="2"/>
  <c r="A24" i="2"/>
  <c r="B24" i="2"/>
  <c r="A29" i="2"/>
  <c r="B29" i="2"/>
  <c r="A9" i="2"/>
  <c r="B9" i="2"/>
  <c r="A13" i="2"/>
  <c r="B13" i="2"/>
  <c r="A17" i="2"/>
  <c r="B17" i="2"/>
  <c r="A21" i="2"/>
  <c r="B21" i="2"/>
  <c r="A25" i="2"/>
  <c r="B25" i="2"/>
  <c r="A30" i="2"/>
  <c r="B30" i="2"/>
  <c r="A10" i="2"/>
  <c r="A10" i="7" s="1"/>
  <c r="B10" i="2"/>
  <c r="A14" i="2"/>
  <c r="B14" i="2"/>
  <c r="A18" i="2"/>
  <c r="A18" i="7" s="1"/>
  <c r="B18" i="2"/>
  <c r="A22" i="2"/>
  <c r="B22" i="2"/>
  <c r="A26" i="2"/>
  <c r="A26" i="7" s="1"/>
  <c r="B26" i="2"/>
  <c r="B9" i="5" l="1"/>
  <c r="B10" i="7"/>
  <c r="B8" i="5"/>
  <c r="B9" i="7"/>
  <c r="B31" i="5"/>
  <c r="B32" i="7"/>
  <c r="B30" i="5"/>
  <c r="B31" i="7"/>
  <c r="A24" i="5"/>
  <c r="A25" i="7"/>
  <c r="A23" i="5"/>
  <c r="A24" i="7"/>
  <c r="R32" i="2"/>
  <c r="A32" i="7"/>
  <c r="B25" i="5"/>
  <c r="B26" i="7"/>
  <c r="B24" i="5"/>
  <c r="B25" i="7"/>
  <c r="B23" i="5"/>
  <c r="B24" i="7"/>
  <c r="B22" i="5"/>
  <c r="B23" i="7"/>
  <c r="A16" i="5"/>
  <c r="A17" i="7"/>
  <c r="A8" i="5"/>
  <c r="A9" i="7"/>
  <c r="A15" i="5"/>
  <c r="A16" i="7"/>
  <c r="A22" i="5"/>
  <c r="A23" i="7"/>
  <c r="A14" i="5"/>
  <c r="A15" i="7"/>
  <c r="B21" i="5"/>
  <c r="B22" i="7"/>
  <c r="B13" i="5"/>
  <c r="B14" i="7"/>
  <c r="B29" i="5"/>
  <c r="B30" i="7"/>
  <c r="B20" i="5"/>
  <c r="B21" i="7"/>
  <c r="B12" i="5"/>
  <c r="B13" i="7"/>
  <c r="B28" i="5"/>
  <c r="B29" i="7"/>
  <c r="B19" i="5"/>
  <c r="B20" i="7"/>
  <c r="B11" i="5"/>
  <c r="B12" i="7"/>
  <c r="B27" i="5"/>
  <c r="B28" i="7"/>
  <c r="B18" i="5"/>
  <c r="B19" i="7"/>
  <c r="B10" i="5"/>
  <c r="B11" i="7"/>
  <c r="B26" i="5"/>
  <c r="B27" i="7"/>
  <c r="B17" i="5"/>
  <c r="B18" i="7"/>
  <c r="B16" i="5"/>
  <c r="B17" i="7"/>
  <c r="B15" i="5"/>
  <c r="B16" i="7"/>
  <c r="B14" i="5"/>
  <c r="B15" i="7"/>
  <c r="A21" i="5"/>
  <c r="A22" i="7"/>
  <c r="A13" i="5"/>
  <c r="A14" i="7"/>
  <c r="A29" i="5"/>
  <c r="A30" i="7"/>
  <c r="A20" i="5"/>
  <c r="A21" i="7"/>
  <c r="A12" i="5"/>
  <c r="A13" i="7"/>
  <c r="A28" i="5"/>
  <c r="A29" i="7"/>
  <c r="A19" i="5"/>
  <c r="A20" i="7"/>
  <c r="A11" i="5"/>
  <c r="A12" i="7"/>
  <c r="A27" i="5"/>
  <c r="A28" i="7"/>
  <c r="A18" i="5"/>
  <c r="A19" i="7"/>
  <c r="A10" i="5"/>
  <c r="A11" i="7"/>
  <c r="A26" i="5"/>
  <c r="A27" i="7"/>
  <c r="R25" i="2"/>
  <c r="Q9" i="2"/>
  <c r="Q24" i="2"/>
  <c r="R17" i="2"/>
  <c r="Q16" i="2"/>
  <c r="Q15" i="2"/>
  <c r="Q23" i="2"/>
  <c r="Q21" i="2"/>
  <c r="Q29" i="2"/>
  <c r="Q20" i="2"/>
  <c r="R28" i="2"/>
  <c r="Q14" i="2"/>
  <c r="Q19" i="2"/>
  <c r="Q13" i="2"/>
  <c r="Q27" i="2"/>
  <c r="Q12" i="2"/>
  <c r="R23" i="2"/>
  <c r="Q22" i="2"/>
  <c r="R19" i="2"/>
  <c r="R13" i="2"/>
  <c r="R27" i="2"/>
  <c r="R20" i="2"/>
  <c r="R12" i="2"/>
  <c r="F25" i="5"/>
  <c r="I25" i="5" s="1"/>
  <c r="M25" i="5" s="1"/>
  <c r="P25" i="5" s="1"/>
  <c r="E25" i="5"/>
  <c r="H25" i="5" s="1"/>
  <c r="D25" i="5"/>
  <c r="G25" i="5" s="1"/>
  <c r="J25" i="5" s="1"/>
  <c r="N25" i="5" s="1"/>
  <c r="Q25" i="5" s="1"/>
  <c r="F29" i="5"/>
  <c r="I29" i="5" s="1"/>
  <c r="M29" i="5" s="1"/>
  <c r="P29" i="5" s="1"/>
  <c r="E29" i="5"/>
  <c r="H29" i="5" s="1"/>
  <c r="D29" i="5"/>
  <c r="G29" i="5" s="1"/>
  <c r="J29" i="5" s="1"/>
  <c r="N29" i="5" s="1"/>
  <c r="Q29" i="5" s="1"/>
  <c r="E20" i="5"/>
  <c r="H20" i="5" s="1"/>
  <c r="D20" i="5"/>
  <c r="G20" i="5" s="1"/>
  <c r="J20" i="5" s="1"/>
  <c r="N20" i="5" s="1"/>
  <c r="Q20" i="5" s="1"/>
  <c r="F20" i="5"/>
  <c r="I20" i="5" s="1"/>
  <c r="M20" i="5" s="1"/>
  <c r="P20" i="5" s="1"/>
  <c r="F12" i="5"/>
  <c r="I12" i="5" s="1"/>
  <c r="M12" i="5" s="1"/>
  <c r="P12" i="5" s="1"/>
  <c r="E12" i="5"/>
  <c r="H12" i="5" s="1"/>
  <c r="D12" i="5"/>
  <c r="G12" i="5" s="1"/>
  <c r="J12" i="5" s="1"/>
  <c r="N12" i="5" s="1"/>
  <c r="Q12" i="5" s="1"/>
  <c r="E28" i="5"/>
  <c r="H28" i="5" s="1"/>
  <c r="F28" i="5"/>
  <c r="I28" i="5" s="1"/>
  <c r="M28" i="5" s="1"/>
  <c r="P28" i="5" s="1"/>
  <c r="D28" i="5"/>
  <c r="G28" i="5" s="1"/>
  <c r="J28" i="5" s="1"/>
  <c r="N28" i="5" s="1"/>
  <c r="Q28" i="5" s="1"/>
  <c r="E15" i="5"/>
  <c r="H15" i="5" s="1"/>
  <c r="F15" i="5"/>
  <c r="I15" i="5" s="1"/>
  <c r="M15" i="5" s="1"/>
  <c r="P15" i="5" s="1"/>
  <c r="D15" i="5"/>
  <c r="G15" i="5" s="1"/>
  <c r="J15" i="5" s="1"/>
  <c r="N15" i="5" s="1"/>
  <c r="Q15" i="5" s="1"/>
  <c r="D27" i="5"/>
  <c r="G27" i="5" s="1"/>
  <c r="J27" i="5" s="1"/>
  <c r="N27" i="5" s="1"/>
  <c r="Q27" i="5" s="1"/>
  <c r="F27" i="5"/>
  <c r="I27" i="5" s="1"/>
  <c r="M27" i="5" s="1"/>
  <c r="P27" i="5" s="1"/>
  <c r="E27" i="5"/>
  <c r="H27" i="5" s="1"/>
  <c r="E11" i="5"/>
  <c r="H11" i="5" s="1"/>
  <c r="F11" i="5"/>
  <c r="I11" i="5" s="1"/>
  <c r="M11" i="5" s="1"/>
  <c r="P11" i="5" s="1"/>
  <c r="D11" i="5"/>
  <c r="G11" i="5" s="1"/>
  <c r="J11" i="5" s="1"/>
  <c r="N11" i="5" s="1"/>
  <c r="Q11" i="5" s="1"/>
  <c r="E18" i="5"/>
  <c r="H18" i="5" s="1"/>
  <c r="F18" i="5"/>
  <c r="I18" i="5" s="1"/>
  <c r="M18" i="5" s="1"/>
  <c r="P18" i="5" s="1"/>
  <c r="D18" i="5"/>
  <c r="G18" i="5" s="1"/>
  <c r="J18" i="5" s="1"/>
  <c r="N18" i="5" s="1"/>
  <c r="Q18" i="5" s="1"/>
  <c r="E10" i="5"/>
  <c r="H10" i="5" s="1"/>
  <c r="D10" i="5"/>
  <c r="G10" i="5" s="1"/>
  <c r="J10" i="5" s="1"/>
  <c r="N10" i="5" s="1"/>
  <c r="Q10" i="5" s="1"/>
  <c r="F10" i="5"/>
  <c r="I10" i="5" s="1"/>
  <c r="M10" i="5" s="1"/>
  <c r="P10" i="5" s="1"/>
  <c r="F26" i="5"/>
  <c r="I26" i="5" s="1"/>
  <c r="M26" i="5" s="1"/>
  <c r="P26" i="5" s="1"/>
  <c r="D26" i="5"/>
  <c r="G26" i="5" s="1"/>
  <c r="J26" i="5" s="1"/>
  <c r="N26" i="5" s="1"/>
  <c r="Q26" i="5" s="1"/>
  <c r="E26" i="5"/>
  <c r="H26" i="5" s="1"/>
  <c r="F17" i="5"/>
  <c r="I17" i="5" s="1"/>
  <c r="M17" i="5" s="1"/>
  <c r="P17" i="5" s="1"/>
  <c r="E17" i="5"/>
  <c r="H17" i="5" s="1"/>
  <c r="D17" i="5"/>
  <c r="G17" i="5" s="1"/>
  <c r="J17" i="5" s="1"/>
  <c r="N17" i="5" s="1"/>
  <c r="Q17" i="5" s="1"/>
  <c r="R26" i="2"/>
  <c r="A25" i="5"/>
  <c r="Q32" i="2"/>
  <c r="A31" i="5"/>
  <c r="R31" i="2"/>
  <c r="A30" i="5"/>
  <c r="R14" i="2"/>
  <c r="R21" i="2"/>
  <c r="R29" i="2"/>
  <c r="R22" i="2"/>
  <c r="Q30" i="2"/>
  <c r="R18" i="2"/>
  <c r="A17" i="5"/>
  <c r="R10" i="2"/>
  <c r="A9" i="5"/>
  <c r="Q18" i="2"/>
  <c r="R30" i="2"/>
  <c r="Q25" i="2"/>
  <c r="Q17" i="2"/>
  <c r="R9" i="2"/>
  <c r="R15" i="2"/>
  <c r="R24" i="2"/>
  <c r="R16" i="2"/>
  <c r="Q28" i="2"/>
  <c r="Q11" i="2"/>
  <c r="F13" i="5"/>
  <c r="I13" i="5" s="1"/>
  <c r="M13" i="5" s="1"/>
  <c r="P13" i="5" s="1"/>
  <c r="E13" i="5"/>
  <c r="H13" i="5" s="1"/>
  <c r="D13" i="5"/>
  <c r="G13" i="5" s="1"/>
  <c r="J13" i="5" s="1"/>
  <c r="N13" i="5" s="1"/>
  <c r="Q13" i="5" s="1"/>
  <c r="E24" i="5"/>
  <c r="H24" i="5" s="1"/>
  <c r="F24" i="5"/>
  <c r="I24" i="5" s="1"/>
  <c r="M24" i="5" s="1"/>
  <c r="P24" i="5" s="1"/>
  <c r="D24" i="5"/>
  <c r="G24" i="5" s="1"/>
  <c r="J24" i="5" s="1"/>
  <c r="N24" i="5" s="1"/>
  <c r="Q24" i="5" s="1"/>
  <c r="E16" i="5"/>
  <c r="H16" i="5" s="1"/>
  <c r="F16" i="5"/>
  <c r="I16" i="5" s="1"/>
  <c r="M16" i="5" s="1"/>
  <c r="P16" i="5" s="1"/>
  <c r="D16" i="5"/>
  <c r="G16" i="5" s="1"/>
  <c r="J16" i="5" s="1"/>
  <c r="N16" i="5" s="1"/>
  <c r="Q16" i="5" s="1"/>
  <c r="D8" i="5"/>
  <c r="G8" i="5" s="1"/>
  <c r="J8" i="5" s="1"/>
  <c r="N8" i="5" s="1"/>
  <c r="Q8" i="5" s="1"/>
  <c r="E8" i="5"/>
  <c r="H8" i="5" s="1"/>
  <c r="D19" i="5"/>
  <c r="G19" i="5" s="1"/>
  <c r="J19" i="5" s="1"/>
  <c r="N19" i="5" s="1"/>
  <c r="Q19" i="5" s="1"/>
  <c r="F19" i="5"/>
  <c r="I19" i="5" s="1"/>
  <c r="M19" i="5" s="1"/>
  <c r="P19" i="5" s="1"/>
  <c r="E19" i="5"/>
  <c r="H19" i="5" s="1"/>
  <c r="D31" i="5"/>
  <c r="G31" i="5" s="1"/>
  <c r="J31" i="5" s="1"/>
  <c r="N31" i="5" s="1"/>
  <c r="Q31" i="5" s="1"/>
  <c r="F31" i="5"/>
  <c r="I31" i="5" s="1"/>
  <c r="M31" i="5" s="1"/>
  <c r="P31" i="5" s="1"/>
  <c r="E31" i="5"/>
  <c r="H31" i="5" s="1"/>
  <c r="D23" i="5"/>
  <c r="G23" i="5" s="1"/>
  <c r="J23" i="5" s="1"/>
  <c r="N23" i="5" s="1"/>
  <c r="Q23" i="5" s="1"/>
  <c r="F23" i="5"/>
  <c r="I23" i="5" s="1"/>
  <c r="M23" i="5" s="1"/>
  <c r="P23" i="5" s="1"/>
  <c r="E23" i="5"/>
  <c r="H23" i="5" s="1"/>
  <c r="E22" i="5"/>
  <c r="H22" i="5" s="1"/>
  <c r="F22" i="5"/>
  <c r="I22" i="5" s="1"/>
  <c r="M22" i="5" s="1"/>
  <c r="P22" i="5" s="1"/>
  <c r="D22" i="5"/>
  <c r="G22" i="5" s="1"/>
  <c r="J22" i="5" s="1"/>
  <c r="N22" i="5" s="1"/>
  <c r="Q22" i="5" s="1"/>
  <c r="F14" i="5"/>
  <c r="I14" i="5" s="1"/>
  <c r="M14" i="5" s="1"/>
  <c r="P14" i="5" s="1"/>
  <c r="E14" i="5"/>
  <c r="H14" i="5" s="1"/>
  <c r="D14" i="5"/>
  <c r="G14" i="5" s="1"/>
  <c r="J14" i="5" s="1"/>
  <c r="N14" i="5" s="1"/>
  <c r="Q14" i="5" s="1"/>
  <c r="E30" i="5"/>
  <c r="H30" i="5" s="1"/>
  <c r="F30" i="5"/>
  <c r="I30" i="5" s="1"/>
  <c r="M30" i="5" s="1"/>
  <c r="P30" i="5" s="1"/>
  <c r="D30" i="5"/>
  <c r="G30" i="5" s="1"/>
  <c r="J30" i="5" s="1"/>
  <c r="N30" i="5" s="1"/>
  <c r="Q30" i="5" s="1"/>
  <c r="F21" i="5"/>
  <c r="I21" i="5" s="1"/>
  <c r="M21" i="5" s="1"/>
  <c r="P21" i="5" s="1"/>
  <c r="E21" i="5"/>
  <c r="H21" i="5" s="1"/>
  <c r="D21" i="5"/>
  <c r="G21" i="5" s="1"/>
  <c r="J21" i="5" s="1"/>
  <c r="N21" i="5" s="1"/>
  <c r="Q21" i="5" s="1"/>
  <c r="F9" i="5"/>
  <c r="I9" i="5" s="1"/>
  <c r="M9" i="5" s="1"/>
  <c r="P9" i="5" s="1"/>
  <c r="E9" i="5"/>
  <c r="H9" i="5" s="1"/>
  <c r="D9" i="5"/>
  <c r="G9" i="5" s="1"/>
  <c r="J9" i="5" s="1"/>
  <c r="N9" i="5" s="1"/>
  <c r="Q9" i="5" s="1"/>
  <c r="Q26" i="2"/>
  <c r="Q10" i="2"/>
  <c r="Q31" i="2"/>
  <c r="L21" i="5" l="1"/>
  <c r="O21" i="5" s="1"/>
  <c r="R21" i="5" s="1"/>
  <c r="K21" i="5"/>
  <c r="L30" i="5"/>
  <c r="O30" i="5" s="1"/>
  <c r="R30" i="5" s="1"/>
  <c r="K30" i="5"/>
  <c r="L14" i="5"/>
  <c r="O14" i="5" s="1"/>
  <c r="R14" i="5" s="1"/>
  <c r="K14" i="5"/>
  <c r="L22" i="5"/>
  <c r="O22" i="5" s="1"/>
  <c r="R22" i="5" s="1"/>
  <c r="K22" i="5"/>
  <c r="L31" i="5"/>
  <c r="O31" i="5" s="1"/>
  <c r="R31" i="5" s="1"/>
  <c r="K31" i="5"/>
  <c r="L8" i="5"/>
  <c r="O8" i="5" s="1"/>
  <c r="R8" i="5" s="1"/>
  <c r="H33" i="1" s="1"/>
  <c r="K8" i="5"/>
  <c r="H24" i="1" s="1"/>
  <c r="F24" i="1" s="1"/>
  <c r="L16" i="5"/>
  <c r="O16" i="5" s="1"/>
  <c r="R16" i="5" s="1"/>
  <c r="K16" i="5"/>
  <c r="L10" i="5"/>
  <c r="O10" i="5" s="1"/>
  <c r="R10" i="5" s="1"/>
  <c r="K10" i="5"/>
  <c r="L11" i="5"/>
  <c r="O11" i="5" s="1"/>
  <c r="R11" i="5" s="1"/>
  <c r="K11" i="5"/>
  <c r="L15" i="5"/>
  <c r="O15" i="5" s="1"/>
  <c r="R15" i="5" s="1"/>
  <c r="K15" i="5"/>
  <c r="L25" i="5"/>
  <c r="O25" i="5" s="1"/>
  <c r="R25" i="5" s="1"/>
  <c r="K25" i="5"/>
  <c r="H32" i="1"/>
  <c r="H26" i="1"/>
  <c r="H29" i="1"/>
  <c r="H27" i="1"/>
  <c r="H25" i="1"/>
  <c r="F25" i="1" s="1"/>
  <c r="L9" i="5"/>
  <c r="O9" i="5" s="1"/>
  <c r="R9" i="5" s="1"/>
  <c r="K9" i="5"/>
  <c r="L23" i="5"/>
  <c r="O23" i="5" s="1"/>
  <c r="R23" i="5" s="1"/>
  <c r="K23" i="5"/>
  <c r="L19" i="5"/>
  <c r="O19" i="5" s="1"/>
  <c r="R19" i="5" s="1"/>
  <c r="K19" i="5"/>
  <c r="L24" i="5"/>
  <c r="O24" i="5" s="1"/>
  <c r="R24" i="5" s="1"/>
  <c r="K24" i="5"/>
  <c r="L13" i="5"/>
  <c r="O13" i="5" s="1"/>
  <c r="R13" i="5" s="1"/>
  <c r="K13" i="5"/>
  <c r="L17" i="5"/>
  <c r="O17" i="5" s="1"/>
  <c r="R17" i="5" s="1"/>
  <c r="K17" i="5"/>
  <c r="L26" i="5"/>
  <c r="O26" i="5" s="1"/>
  <c r="R26" i="5" s="1"/>
  <c r="K26" i="5"/>
  <c r="L18" i="5"/>
  <c r="O18" i="5" s="1"/>
  <c r="R18" i="5" s="1"/>
  <c r="K18" i="5"/>
  <c r="L27" i="5"/>
  <c r="O27" i="5" s="1"/>
  <c r="R27" i="5" s="1"/>
  <c r="K27" i="5"/>
  <c r="L28" i="5"/>
  <c r="O28" i="5" s="1"/>
  <c r="R28" i="5" s="1"/>
  <c r="K28" i="5"/>
  <c r="L12" i="5"/>
  <c r="O12" i="5" s="1"/>
  <c r="R12" i="5" s="1"/>
  <c r="K12" i="5"/>
  <c r="L20" i="5"/>
  <c r="O20" i="5" s="1"/>
  <c r="R20" i="5" s="1"/>
  <c r="K20" i="5"/>
  <c r="L29" i="5"/>
  <c r="O29" i="5" s="1"/>
  <c r="R29" i="5" s="1"/>
  <c r="K29" i="5"/>
  <c r="S12" i="2"/>
  <c r="S34" i="2"/>
  <c r="S13" i="2"/>
  <c r="S17" i="2"/>
  <c r="S21" i="2"/>
  <c r="S25" i="2"/>
  <c r="S29" i="2"/>
  <c r="S33" i="2"/>
  <c r="S24" i="2"/>
  <c r="S10" i="2"/>
  <c r="S14" i="2"/>
  <c r="S18" i="2"/>
  <c r="S22" i="2"/>
  <c r="S26" i="2"/>
  <c r="S30" i="2"/>
  <c r="S9" i="2"/>
  <c r="S16" i="2"/>
  <c r="S32" i="2"/>
  <c r="S11" i="2"/>
  <c r="S15" i="2"/>
  <c r="S19" i="2"/>
  <c r="S23" i="2"/>
  <c r="S27" i="2"/>
  <c r="S31" i="2"/>
  <c r="S20" i="2"/>
  <c r="S28" i="2"/>
  <c r="I90" i="1"/>
  <c r="D90" i="1"/>
  <c r="C88" i="1"/>
  <c r="C87" i="1"/>
  <c r="H88" i="1"/>
  <c r="H87" i="1"/>
  <c r="F90" i="1"/>
  <c r="H74" i="1"/>
  <c r="H70" i="1"/>
  <c r="H64" i="1"/>
  <c r="H78" i="1"/>
  <c r="E13" i="1"/>
  <c r="E59" i="1" s="1"/>
  <c r="A10" i="1"/>
  <c r="A56" i="1" s="1"/>
  <c r="E10" i="1"/>
  <c r="E56" i="1" s="1"/>
  <c r="H19" i="1"/>
  <c r="F19" i="1" s="1"/>
  <c r="A13" i="1"/>
  <c r="A59" i="1" s="1"/>
  <c r="H20" i="1"/>
  <c r="F20" i="1" s="1"/>
  <c r="H18" i="1"/>
  <c r="F18" i="1" s="1"/>
  <c r="H23" i="1"/>
  <c r="F23" i="1" s="1"/>
  <c r="H22" i="1"/>
  <c r="F22" i="1" s="1"/>
  <c r="H28" i="1" l="1"/>
  <c r="F33" i="1"/>
  <c r="F28" i="1"/>
  <c r="F32" i="1"/>
  <c r="F27" i="1"/>
  <c r="F29" i="1"/>
  <c r="F26" i="1"/>
</calcChain>
</file>

<file path=xl/sharedStrings.xml><?xml version="1.0" encoding="utf-8"?>
<sst xmlns="http://schemas.openxmlformats.org/spreadsheetml/2006/main" count="1612" uniqueCount="921">
  <si>
    <t xml:space="preserve">  </t>
  </si>
  <si>
    <t>BUKIT SION MIDDLE SCHOOL</t>
  </si>
  <si>
    <t>Student Progress Report</t>
  </si>
  <si>
    <t>Student Name</t>
  </si>
  <si>
    <t>Student ID</t>
  </si>
  <si>
    <t xml:space="preserve">Date of Birth </t>
  </si>
  <si>
    <t xml:space="preserve">Gender </t>
  </si>
  <si>
    <t xml:space="preserve">Grade </t>
  </si>
  <si>
    <t xml:space="preserve">Curriculum </t>
  </si>
  <si>
    <t xml:space="preserve">Subject </t>
  </si>
  <si>
    <t>Result</t>
  </si>
  <si>
    <t>Percentage Uniform Mark</t>
  </si>
  <si>
    <t>National</t>
  </si>
  <si>
    <t xml:space="preserve">Agama Kristen </t>
  </si>
  <si>
    <t xml:space="preserve">Bahasa Indonesia </t>
  </si>
  <si>
    <t xml:space="preserve">Cambridge </t>
  </si>
  <si>
    <t>Mathematics</t>
  </si>
  <si>
    <t>Physics</t>
  </si>
  <si>
    <t>Business Studies</t>
  </si>
  <si>
    <t xml:space="preserve">Bukit Sion </t>
  </si>
  <si>
    <t xml:space="preserve">Intra-Curricular Activity </t>
  </si>
  <si>
    <t xml:space="preserve">Jakarta, </t>
  </si>
  <si>
    <t>Homeroom Teacher,</t>
  </si>
  <si>
    <t xml:space="preserve">Parent, </t>
  </si>
  <si>
    <t xml:space="preserve">Principal, </t>
  </si>
  <si>
    <t>Wendy Hartono, M.Pd.</t>
  </si>
  <si>
    <t>Term 1</t>
  </si>
  <si>
    <t xml:space="preserve">NO </t>
  </si>
  <si>
    <t>STUDENT ID</t>
  </si>
  <si>
    <t>NAME</t>
  </si>
  <si>
    <t>SUBJECT</t>
  </si>
  <si>
    <t>PKN</t>
  </si>
  <si>
    <t>Agama</t>
  </si>
  <si>
    <t>B. Indo</t>
  </si>
  <si>
    <t xml:space="preserve">English </t>
  </si>
  <si>
    <t xml:space="preserve">Math </t>
  </si>
  <si>
    <t>ICT</t>
  </si>
  <si>
    <t>ICA</t>
  </si>
  <si>
    <t>Chem</t>
  </si>
  <si>
    <t>Mand</t>
  </si>
  <si>
    <t>Student Progress Report Summary</t>
  </si>
  <si>
    <t>Grade</t>
  </si>
  <si>
    <t>PE</t>
  </si>
  <si>
    <t>Hannah R. Knight, BA. Dip.Ed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</si>
  <si>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</si>
  <si>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</si>
  <si>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</si>
  <si>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</si>
  <si>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</si>
  <si>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</si>
  <si>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</si>
  <si>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</si>
  <si>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</si>
  <si>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GRACE YONATAN SETIADI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</si>
  <si>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</si>
  <si>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</si>
  <si>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</si>
  <si>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</si>
  <si>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</si>
  <si>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</si>
  <si>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</si>
  <si>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</si>
  <si>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</si>
  <si>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</si>
  <si>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</si>
  <si>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</si>
  <si>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</si>
  <si>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</si>
  <si>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</si>
  <si>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</si>
  <si>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</si>
  <si>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</si>
  <si>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</si>
  <si>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</si>
  <si>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</si>
  <si>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</si>
  <si>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</si>
  <si>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</si>
  <si>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</si>
  <si>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</si>
  <si>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</si>
  <si>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</si>
  <si>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</si>
  <si>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</si>
  <si>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</si>
  <si>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</si>
  <si>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</si>
  <si>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</si>
  <si>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</si>
  <si>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</si>
  <si>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</si>
  <si>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</si>
  <si>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</si>
  <si>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</si>
  <si>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</si>
  <si>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</si>
  <si>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</si>
  <si>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</si>
  <si>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</si>
  <si>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</si>
  <si>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</si>
  <si>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</si>
  <si>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</si>
  <si>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</si>
  <si>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</si>
  <si>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</si>
  <si>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</si>
  <si>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</si>
  <si>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</si>
  <si>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</si>
  <si>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</si>
  <si>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</si>
  <si>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</si>
  <si>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</si>
  <si>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</si>
  <si>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</si>
  <si>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</si>
  <si>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</si>
  <si>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</si>
  <si>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</si>
  <si>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</si>
  <si>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</si>
  <si>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</si>
  <si>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</si>
  <si>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</si>
  <si>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</si>
  <si>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</si>
  <si>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>JOSEPHINE WIDJAJA</t>
  </si>
  <si>
    <t>JEVINT FELIXCIANO</t>
  </si>
  <si>
    <t>FARRELL KEVIN GARDJITO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</si>
  <si>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</si>
  <si>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</si>
  <si>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</si>
  <si>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</si>
  <si>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</si>
  <si>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</si>
  <si>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</si>
  <si>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</si>
  <si>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</si>
  <si>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</si>
  <si>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</si>
  <si>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</si>
  <si>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</si>
  <si>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</si>
  <si>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</si>
  <si>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</si>
  <si>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</si>
  <si>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</si>
  <si>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</si>
  <si>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</si>
  <si>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>SHERINE HANS JOCELYNE</t>
  </si>
  <si>
    <t>SUGIANSYAH</t>
  </si>
  <si>
    <t>Marco Marciano K., S.Pd.</t>
  </si>
  <si>
    <t>Enik Suhariatin, S.Pd.</t>
  </si>
  <si>
    <t>Caecilia Supriyati, S.Pd.</t>
  </si>
  <si>
    <t>Josua Geis Somba, S.Si.</t>
  </si>
  <si>
    <t>BUKIT SION MIDDLE SCHOOL - STUDENT ID NUMBER</t>
  </si>
  <si>
    <t>BUKIT SION MIDDLE SCHOOL - STUDENT NAME</t>
  </si>
  <si>
    <t>BUKIT SION MIDDLE SCHOOL - GENDER</t>
  </si>
  <si>
    <t>BUKIT SION MIDDLE SCHOOL - DATE OF BIRTH</t>
  </si>
  <si>
    <t>NO</t>
  </si>
  <si>
    <t xml:space="preserve">NAME </t>
  </si>
  <si>
    <t>GENDER</t>
  </si>
  <si>
    <t xml:space="preserve">DATE OF BIRTH </t>
  </si>
  <si>
    <t>Grd :</t>
  </si>
  <si>
    <t>STUDENT DATA GRADE 7</t>
  </si>
  <si>
    <t>STUDENT DATA GRADE 8</t>
  </si>
  <si>
    <t>STUDENT DATA GRADE 9</t>
  </si>
  <si>
    <t>AVERAGE</t>
  </si>
  <si>
    <t xml:space="preserve">TOTAL </t>
  </si>
  <si>
    <t>AVG</t>
  </si>
  <si>
    <t>RANK</t>
  </si>
  <si>
    <t>Biology</t>
  </si>
  <si>
    <t>History</t>
  </si>
  <si>
    <t>Business</t>
  </si>
  <si>
    <t>MAXIMUM SCORE</t>
  </si>
  <si>
    <t>MINIMUM SCORE</t>
  </si>
  <si>
    <t>Homeroom Teacher</t>
  </si>
  <si>
    <t xml:space="preserve">Wendy Hartono, M.Pd. </t>
  </si>
  <si>
    <t>Chemistry</t>
  </si>
  <si>
    <t>World History</t>
  </si>
  <si>
    <t>MAND</t>
  </si>
  <si>
    <t>KIM GUN HEE</t>
  </si>
  <si>
    <t>BUKIT SION MIDDLE SCHOOL - MANDARIN</t>
  </si>
  <si>
    <t>Student Progress Report Summary (Formula)</t>
  </si>
  <si>
    <t>M/F</t>
  </si>
  <si>
    <t>DATE OF  BIRTH</t>
  </si>
  <si>
    <t>GRADE</t>
  </si>
  <si>
    <t>NOTE</t>
  </si>
  <si>
    <t>%</t>
  </si>
  <si>
    <t xml:space="preserve">BUKIT SION MIDDLE SCHOOL </t>
  </si>
  <si>
    <t>GRADE :</t>
  </si>
  <si>
    <t>TERM :</t>
  </si>
  <si>
    <t xml:space="preserve">YEAR : </t>
  </si>
  <si>
    <t xml:space="preserve">Year </t>
  </si>
  <si>
    <t>Year</t>
  </si>
  <si>
    <t>Term 2</t>
  </si>
  <si>
    <t xml:space="preserve">DATE : </t>
  </si>
  <si>
    <t>BRANDON JOSHUA HAHOLONGAN N.</t>
  </si>
  <si>
    <t>B</t>
  </si>
  <si>
    <t xml:space="preserve">Detail </t>
  </si>
  <si>
    <t>Arrive at school on time</t>
  </si>
  <si>
    <t>Bring all learning materials needed</t>
  </si>
  <si>
    <t>Follow the class schedule</t>
  </si>
  <si>
    <t>Wear school uniform in accordance to guidelines</t>
  </si>
  <si>
    <t>Responsibility</t>
  </si>
  <si>
    <t xml:space="preserve">Proper Attitude </t>
  </si>
  <si>
    <t xml:space="preserve">Collaboration </t>
  </si>
  <si>
    <t xml:space="preserve">Show enthusiasm and participate actively in </t>
  </si>
  <si>
    <t xml:space="preserve">Contribute by sharing ideas, disagreement or </t>
  </si>
  <si>
    <t xml:space="preserve">agreement </t>
  </si>
  <si>
    <t xml:space="preserve">Mark </t>
  </si>
  <si>
    <t>a.</t>
  </si>
  <si>
    <t>b.</t>
  </si>
  <si>
    <t>c.</t>
  </si>
  <si>
    <t>d.</t>
  </si>
  <si>
    <t xml:space="preserve">c. </t>
  </si>
  <si>
    <t xml:space="preserve">Follow instruction or guidelines given </t>
  </si>
  <si>
    <t xml:space="preserve">Complete all tasks given </t>
  </si>
  <si>
    <t>Accept the final decision made together</t>
  </si>
  <si>
    <t>Discipline</t>
  </si>
  <si>
    <t>Mark</t>
  </si>
  <si>
    <t xml:space="preserve">Extracurricular Activity : </t>
  </si>
  <si>
    <t xml:space="preserve">Mark : </t>
  </si>
  <si>
    <t xml:space="preserve">Ill : </t>
  </si>
  <si>
    <t xml:space="preserve">Absence (day) </t>
  </si>
  <si>
    <t>Consent :</t>
  </si>
  <si>
    <t>Unknown :</t>
  </si>
  <si>
    <t>BEHAVIOUR</t>
  </si>
  <si>
    <t>Collaboration</t>
  </si>
  <si>
    <t>Extracurricular</t>
  </si>
  <si>
    <t>Ill</t>
  </si>
  <si>
    <t>Consent</t>
  </si>
  <si>
    <t>Unknown</t>
  </si>
  <si>
    <t>Student Behavior Report Summary</t>
  </si>
  <si>
    <t xml:space="preserve">English First Language </t>
  </si>
  <si>
    <t>Information and Communications Technology</t>
  </si>
  <si>
    <t xml:space="preserve">Be courteous towards everyone you meet </t>
  </si>
  <si>
    <t>IMMANUEL NAVE BAJAO</t>
  </si>
  <si>
    <t>AMARANTA KENNISHIA DIMATEA</t>
  </si>
  <si>
    <t>BRYAN SURYADJAYA SAPUTRO</t>
  </si>
  <si>
    <t>CAROLINE SANTOSO OPEK</t>
  </si>
  <si>
    <t>CHARLOTTE VALESKA LORDANO</t>
  </si>
  <si>
    <t>CHRISTOPHE ANDRE  AGUNG LAWIN</t>
  </si>
  <si>
    <t>COLLIN DIMAS SANTOSO</t>
  </si>
  <si>
    <t>CRYSTALIA REDEMPTA SHANNIQUE AVEZA WANGSA</t>
  </si>
  <si>
    <t>NATHANAEL NOBELIUS IVASHKA</t>
  </si>
  <si>
    <t>NICHOLAS HAMMET TARIGAN</t>
  </si>
  <si>
    <t>REFAYA ALODYA MYRON</t>
  </si>
  <si>
    <t>WILLIAM EZRA SIRAPANDJI</t>
  </si>
  <si>
    <t>WILLIAM NATHANAEL SANTOSO</t>
  </si>
  <si>
    <t>CHRISTIAN NATHANAEL P.</t>
  </si>
  <si>
    <t>JENNISE PATRICIA SUNARYO</t>
  </si>
  <si>
    <t>KEVIN CHESTER DELANO</t>
  </si>
  <si>
    <t>LOUIS VELASCO MULJONO</t>
  </si>
  <si>
    <t>NICOLA FARRELL KOSASIH</t>
  </si>
  <si>
    <t>NICOLE VENA CHANDRA</t>
  </si>
  <si>
    <t>SOVIOLA GRACIA GINAT</t>
  </si>
  <si>
    <t>ALENA PANNA SOEGIANTO</t>
  </si>
  <si>
    <t>Female</t>
  </si>
  <si>
    <t>Male</t>
  </si>
  <si>
    <t>CHRISTOPHER ELBERT JUSAK</t>
  </si>
  <si>
    <t>DONI ANTONIO PUTRA</t>
  </si>
  <si>
    <t>FILBERT MATHIAS HALOMOAN SITORUS</t>
  </si>
  <si>
    <t>GEMILANG FRIYAN FINN PAKPAHAN</t>
  </si>
  <si>
    <t>JONATHAN KENNETH WIJAYA</t>
  </si>
  <si>
    <t>MICHELLE FIDELIA HARTONO</t>
  </si>
  <si>
    <t>NATHANAEL RICHARD HA HANES</t>
  </si>
  <si>
    <t>PATRICK WILLIAM KURNIAWAN</t>
  </si>
  <si>
    <t>SHARON DOVIKO TANUWIDJAJA</t>
  </si>
  <si>
    <t>STEFAN KINAI SOLAGRATIA BUDIMAN</t>
  </si>
  <si>
    <t>THERESIA AUDREY KENANYA</t>
  </si>
  <si>
    <t>THESHIA VERONICA KUSUMA YUN MEY</t>
  </si>
  <si>
    <t>WILSON EKAPUTRA TANUWIDJAJA</t>
  </si>
  <si>
    <t>ADELBERT REINHARD RIANG</t>
  </si>
  <si>
    <t>CHARISSA NINA JONATHAN</t>
  </si>
  <si>
    <t>CHRISTIAN KEVIN PHANGADI</t>
  </si>
  <si>
    <t>DANIEL MARCELLO TANNY</t>
  </si>
  <si>
    <t>EUGENE JEREMY KIE TOREDJO</t>
  </si>
  <si>
    <t>FIDELIA MATHEA ULIANA SITORUS</t>
  </si>
  <si>
    <t>GIOVANNA BRENDA TANUBRATA</t>
  </si>
  <si>
    <t>ISHAK ZERAH TANUPUTRA</t>
  </si>
  <si>
    <t>JENNIFER ALESSANDRA DIAZ SIMANJUNTAK</t>
  </si>
  <si>
    <t>JESLYN REIA LARANTUKA</t>
  </si>
  <si>
    <t>JOSEPHINE GISELLE WIDJAJA</t>
  </si>
  <si>
    <t>MATTHEW ASYER BENAYA BANGUN</t>
  </si>
  <si>
    <t>MATTHEW NICANOR GERALD NATADIPRAJA</t>
  </si>
  <si>
    <t>NATASHA GAVRILA KARYADI</t>
  </si>
  <si>
    <t>STEPHEN CHRISTIAN SUIWINATA</t>
  </si>
  <si>
    <t>VANIA FELISHA HILLARY HALIM</t>
  </si>
  <si>
    <t>758 / 0042039979</t>
  </si>
  <si>
    <t>760 / 0042039729</t>
  </si>
  <si>
    <t>765 / 0041777207</t>
  </si>
  <si>
    <t>772 / 0041795657</t>
  </si>
  <si>
    <t>773 / 0041795703</t>
  </si>
  <si>
    <t>775 / 0045900822</t>
  </si>
  <si>
    <t>781 / 0031895380</t>
  </si>
  <si>
    <t>785 / 0041810813</t>
  </si>
  <si>
    <t>786 / 0041879059</t>
  </si>
  <si>
    <t>794 / 0056349351</t>
  </si>
  <si>
    <t>800 / 0033413458</t>
  </si>
  <si>
    <t>801 / 0035858450</t>
  </si>
  <si>
    <t>809</t>
  </si>
  <si>
    <t>814 / 0041615024</t>
  </si>
  <si>
    <t>823 / 0041897191</t>
  </si>
  <si>
    <t>828 / 0042038407</t>
  </si>
  <si>
    <t>833 / 0035859435</t>
  </si>
  <si>
    <t>838 / 0042050034</t>
  </si>
  <si>
    <t>841 / 0041879619</t>
  </si>
  <si>
    <t>845 / 0041932870</t>
  </si>
  <si>
    <t>846 / 0041895536</t>
  </si>
  <si>
    <t>850 / 0042370816</t>
  </si>
  <si>
    <t>851 / 0047994919</t>
  </si>
  <si>
    <t>757 / 0046197583</t>
  </si>
  <si>
    <t>767 / 0041795656</t>
  </si>
  <si>
    <t>769 / 0041896927</t>
  </si>
  <si>
    <t>778 / 0041510241</t>
  </si>
  <si>
    <t>779 / 0041879015</t>
  </si>
  <si>
    <t>782 / 0029370221</t>
  </si>
  <si>
    <t>784 / 0041796135</t>
  </si>
  <si>
    <t>787 / 0041796248</t>
  </si>
  <si>
    <t>789 / 0040871540</t>
  </si>
  <si>
    <t>795 / 0050396547</t>
  </si>
  <si>
    <t>798 / 0041615018</t>
  </si>
  <si>
    <t>799 / 0035858434</t>
  </si>
  <si>
    <t>803 / 0041897169</t>
  </si>
  <si>
    <t>805 / 0041796499</t>
  </si>
  <si>
    <t>815</t>
  </si>
  <si>
    <t>819 / 0042116925</t>
  </si>
  <si>
    <t>821 / 0042038379</t>
  </si>
  <si>
    <t>822 / 0041879216</t>
  </si>
  <si>
    <t>825 / 0035898906</t>
  </si>
  <si>
    <t>834 / 0041810179</t>
  </si>
  <si>
    <t>842 / 0041878688</t>
  </si>
  <si>
    <t>843 / 0041875592</t>
  </si>
  <si>
    <t>847 / 0042018049</t>
  </si>
  <si>
    <t>759 / 0041875773</t>
  </si>
  <si>
    <t>762 / 0041486592</t>
  </si>
  <si>
    <t>764 / 0041810896</t>
  </si>
  <si>
    <t>766 / 0040871536</t>
  </si>
  <si>
    <t>768 / 0041876535</t>
  </si>
  <si>
    <t>771 / 0043891453</t>
  </si>
  <si>
    <t>774 / 0041810147</t>
  </si>
  <si>
    <t>776 / 0040871555</t>
  </si>
  <si>
    <t>777 / 0042039732</t>
  </si>
  <si>
    <t>783 / 0041796283</t>
  </si>
  <si>
    <t>788</t>
  </si>
  <si>
    <t>796 / 0041496281</t>
  </si>
  <si>
    <t>806 / 0041893761</t>
  </si>
  <si>
    <t>813 / 0041810864</t>
  </si>
  <si>
    <t>824 / 0041810180</t>
  </si>
  <si>
    <t>827 / 0033946124</t>
  </si>
  <si>
    <t>829 / 0041911313</t>
  </si>
  <si>
    <t>830 / 0043542221</t>
  </si>
  <si>
    <t>835 / 0041790922</t>
  </si>
  <si>
    <t>836 / 0041878597</t>
  </si>
  <si>
    <t>848 / 0033413420</t>
  </si>
  <si>
    <t>849 / 0035659362</t>
  </si>
  <si>
    <t>761 / 0042050046</t>
  </si>
  <si>
    <t>770 / 0045192456</t>
  </si>
  <si>
    <t>780 / 0040871569</t>
  </si>
  <si>
    <t>790 / 0043891840</t>
  </si>
  <si>
    <t>791 / 0041810238</t>
  </si>
  <si>
    <t>793 / 0041673073</t>
  </si>
  <si>
    <t>797 / 0043916797</t>
  </si>
  <si>
    <t>802 / 0035797541</t>
  </si>
  <si>
    <t>804 / 0035873843</t>
  </si>
  <si>
    <t>807 / 0041897166</t>
  </si>
  <si>
    <t>808 / 0041877712</t>
  </si>
  <si>
    <t>810 / 0041810232</t>
  </si>
  <si>
    <t>812 / 0045154570</t>
  </si>
  <si>
    <t>816 / 0041810135</t>
  </si>
  <si>
    <t>817 / 0041791548</t>
  </si>
  <si>
    <t>820 / 0041056348</t>
  </si>
  <si>
    <t>826 / 0040971454</t>
  </si>
  <si>
    <t>831 / 0041877991</t>
  </si>
  <si>
    <t>832 / 0035874789</t>
  </si>
  <si>
    <t>837 / 0041878627</t>
  </si>
  <si>
    <t>839 / 0041891951</t>
  </si>
  <si>
    <t>840 / 0041795545</t>
  </si>
  <si>
    <t>844 / 0040955182</t>
  </si>
  <si>
    <t>854 / 0051072071</t>
  </si>
  <si>
    <t>16 September 2005</t>
  </si>
  <si>
    <t>856 / 0051073897</t>
  </si>
  <si>
    <t>18 June 2005</t>
  </si>
  <si>
    <t>858 / 0055553057</t>
  </si>
  <si>
    <t>10 April 2005</t>
  </si>
  <si>
    <t>864 / 0050874690</t>
  </si>
  <si>
    <t>1 May 2005</t>
  </si>
  <si>
    <t>867 / 0050874710</t>
  </si>
  <si>
    <t>28 March 2005</t>
  </si>
  <si>
    <t>871 / 0058206317</t>
  </si>
  <si>
    <t>16 November 2005</t>
  </si>
  <si>
    <t>876 / 0050858455</t>
  </si>
  <si>
    <t>17 April 2005</t>
  </si>
  <si>
    <t>877 / 0055025990</t>
  </si>
  <si>
    <t>5 September 2005</t>
  </si>
  <si>
    <t>880 / 0044994733</t>
  </si>
  <si>
    <t>9 October 2004</t>
  </si>
  <si>
    <t>885 / 0050858851</t>
  </si>
  <si>
    <t>14 July 2005</t>
  </si>
  <si>
    <t>892 / 0051072737</t>
  </si>
  <si>
    <t>11 May 2005</t>
  </si>
  <si>
    <t>896 / 0053088071</t>
  </si>
  <si>
    <t>3 March 2005</t>
  </si>
  <si>
    <t>899 / 0053436236</t>
  </si>
  <si>
    <t>1 March 2005</t>
  </si>
  <si>
    <t>907 / 0051074268</t>
  </si>
  <si>
    <t>5 August 2005</t>
  </si>
  <si>
    <t>911 / 0050859332</t>
  </si>
  <si>
    <t>5 April 2005</t>
  </si>
  <si>
    <t>912 / 0047667452</t>
  </si>
  <si>
    <t>21 December 2004</t>
  </si>
  <si>
    <t>922 / 0051074581</t>
  </si>
  <si>
    <t>12 October 2005</t>
  </si>
  <si>
    <t>924 / 0051073375</t>
  </si>
  <si>
    <t>8 April 2005</t>
  </si>
  <si>
    <t>928 / 0055067646</t>
  </si>
  <si>
    <t>20 February 2005</t>
  </si>
  <si>
    <t>855 / 0058737804</t>
  </si>
  <si>
    <t>859</t>
  </si>
  <si>
    <t>860 / 0051297749</t>
  </si>
  <si>
    <t>BEN KRISTOFER BENEDICT</t>
  </si>
  <si>
    <t>865 / 0055258588</t>
  </si>
  <si>
    <t>869 / 0050874715</t>
  </si>
  <si>
    <t>879 / 0050874810</t>
  </si>
  <si>
    <t>884 / 0051072709</t>
  </si>
  <si>
    <t>886 / 0051072739</t>
  </si>
  <si>
    <t>889 / 0050874883</t>
  </si>
  <si>
    <t>890 / 0050858995</t>
  </si>
  <si>
    <t>895 / 0051074191</t>
  </si>
  <si>
    <t>900 / 0050875020</t>
  </si>
  <si>
    <t>901 / 0045763702</t>
  </si>
  <si>
    <t>906 / 0040772024</t>
  </si>
  <si>
    <t>908 / 0050838305</t>
  </si>
  <si>
    <t>917 / 0056496156</t>
  </si>
  <si>
    <t>918 / 0049580798</t>
  </si>
  <si>
    <t>923 / 0055769668</t>
  </si>
  <si>
    <t>27 April 2005</t>
  </si>
  <si>
    <t>3 June 2005</t>
  </si>
  <si>
    <t>14 October 2005</t>
  </si>
  <si>
    <t>12 April 2005</t>
  </si>
  <si>
    <t>20 August 2005</t>
  </si>
  <si>
    <t>23 April 2005</t>
  </si>
  <si>
    <t>3 April 2005</t>
  </si>
  <si>
    <t>22 January 2005</t>
  </si>
  <si>
    <t>25 May 2005</t>
  </si>
  <si>
    <t>26 March 2005</t>
  </si>
  <si>
    <t>27 January 2005</t>
  </si>
  <si>
    <t>26 December 2004</t>
  </si>
  <si>
    <t>12 April 2004</t>
  </si>
  <si>
    <t>19 April 2005</t>
  </si>
  <si>
    <t>11 June 2005</t>
  </si>
  <si>
    <t>28 November 2004</t>
  </si>
  <si>
    <t>7 August 2005</t>
  </si>
  <si>
    <t>857 / 0050857757</t>
  </si>
  <si>
    <t>18 April 2005</t>
  </si>
  <si>
    <t>861 / 0051072235</t>
  </si>
  <si>
    <t>1 June 2005</t>
  </si>
  <si>
    <t>866 / 0050858210</t>
  </si>
  <si>
    <t>26 May 2005</t>
  </si>
  <si>
    <t>868 / 0051778056</t>
  </si>
  <si>
    <t>18 December 2005</t>
  </si>
  <si>
    <t>872 / 0050858424</t>
  </si>
  <si>
    <t>10 June 2005</t>
  </si>
  <si>
    <t>878 / 0050874727</t>
  </si>
  <si>
    <t>29 June 2005</t>
  </si>
  <si>
    <t>882 / 0050858680</t>
  </si>
  <si>
    <t>18 May 2005</t>
  </si>
  <si>
    <t>888 / 0050874824</t>
  </si>
  <si>
    <t>22 November 2005</t>
  </si>
  <si>
    <t>811 / 0050375602</t>
  </si>
  <si>
    <t>25 February 2005</t>
  </si>
  <si>
    <t>893 / 0051074187</t>
  </si>
  <si>
    <t>9 September 2005</t>
  </si>
  <si>
    <t>897 / 0050874910</t>
  </si>
  <si>
    <t>901 / 0051265357</t>
  </si>
  <si>
    <t>16 June 2005</t>
  </si>
  <si>
    <t>20 May 2005</t>
  </si>
  <si>
    <t>905 / 0050790306</t>
  </si>
  <si>
    <t>909 / 0051074272</t>
  </si>
  <si>
    <t>30 October 2005</t>
  </si>
  <si>
    <t>915 / 0053015400</t>
  </si>
  <si>
    <t>25 August 2005</t>
  </si>
  <si>
    <t>921 / 0051076641</t>
  </si>
  <si>
    <t>18 November 2005</t>
  </si>
  <si>
    <t>926 / 0051073437</t>
  </si>
  <si>
    <t>863 / 0057981284</t>
  </si>
  <si>
    <t>870 / 0050874719</t>
  </si>
  <si>
    <t xml:space="preserve"> 3 May 2005</t>
  </si>
  <si>
    <t>873 / 0058652907</t>
  </si>
  <si>
    <t>874 / 0057868302</t>
  </si>
  <si>
    <t xml:space="preserve"> 31 July 2005</t>
  </si>
  <si>
    <t>875 / 0051072583</t>
  </si>
  <si>
    <t xml:space="preserve"> 25 October 2005</t>
  </si>
  <si>
    <t>881 / 0052987079</t>
  </si>
  <si>
    <t xml:space="preserve"> 10 October 2005</t>
  </si>
  <si>
    <t>883 / 0049269456</t>
  </si>
  <si>
    <t xml:space="preserve"> 11 December 2004</t>
  </si>
  <si>
    <t>887 / 0050874821</t>
  </si>
  <si>
    <t xml:space="preserve"> 31 May 2005</t>
  </si>
  <si>
    <t>891 / 0050874891</t>
  </si>
  <si>
    <t xml:space="preserve"> 28 October 2005</t>
  </si>
  <si>
    <t>894 / 0053308735</t>
  </si>
  <si>
    <t>KOBALEN KHANISKA ARASEN</t>
  </si>
  <si>
    <t xml:space="preserve"> 15 September 2005</t>
  </si>
  <si>
    <t>898 / 0051072540</t>
  </si>
  <si>
    <t>903 / 0050875112</t>
  </si>
  <si>
    <t xml:space="preserve"> 3 September 2005</t>
  </si>
  <si>
    <t>910 / 005125304</t>
  </si>
  <si>
    <t>913 / 0052375028</t>
  </si>
  <si>
    <t xml:space="preserve"> 27 October 2005</t>
  </si>
  <si>
    <t>914 / 0051074383</t>
  </si>
  <si>
    <t>916 / 0051074411</t>
  </si>
  <si>
    <t xml:space="preserve"> 6 August 2005</t>
  </si>
  <si>
    <t>919 / 0057785037</t>
  </si>
  <si>
    <t xml:space="preserve"> 16 March 2005</t>
  </si>
  <si>
    <t>920 / 0054716765</t>
  </si>
  <si>
    <t xml:space="preserve"> 11 August 2005</t>
  </si>
  <si>
    <t>925 / 0050874094</t>
  </si>
  <si>
    <t xml:space="preserve"> 5 February 2005</t>
  </si>
  <si>
    <t>27 November 2002</t>
  </si>
  <si>
    <t>9 April 2004</t>
  </si>
  <si>
    <t>27 July 2004</t>
  </si>
  <si>
    <t>23 October 2004</t>
  </si>
  <si>
    <t>21 June 2004</t>
  </si>
  <si>
    <t>8 June 2004</t>
  </si>
  <si>
    <t>21 January 2004</t>
  </si>
  <si>
    <t>23 January 2004</t>
  </si>
  <si>
    <t>28 January 2005</t>
  </si>
  <si>
    <t>23 August 2003</t>
  </si>
  <si>
    <t>2 December 2003</t>
  </si>
  <si>
    <t>20 March 2004</t>
  </si>
  <si>
    <t>12 October 2004</t>
  </si>
  <si>
    <t>19 June 2004</t>
  </si>
  <si>
    <t>10 November 2003</t>
  </si>
  <si>
    <t>2 December 2004</t>
  </si>
  <si>
    <t>19 July 2004</t>
  </si>
  <si>
    <t>5 January 2004</t>
  </si>
  <si>
    <t>22 May 2004</t>
  </si>
  <si>
    <t>26 November 2004</t>
  </si>
  <si>
    <t>15 July 2004</t>
  </si>
  <si>
    <t>27 February 2004</t>
  </si>
  <si>
    <t>1 May 2004</t>
  </si>
  <si>
    <t>10 December 2004</t>
  </si>
  <si>
    <t>29 October 2004</t>
  </si>
  <si>
    <t>3 December 2004</t>
  </si>
  <si>
    <t>20 November 2004</t>
  </si>
  <si>
    <t>5 May 2004</t>
  </si>
  <si>
    <t>6 January 2005</t>
  </si>
  <si>
    <t>17 December 2003</t>
  </si>
  <si>
    <t>21 October 2004</t>
  </si>
  <si>
    <t>24 April 2004</t>
  </si>
  <si>
    <t>21 March 2004</t>
  </si>
  <si>
    <t>7 August 2004</t>
  </si>
  <si>
    <t>27 June 2004</t>
  </si>
  <si>
    <t>18 April 2004</t>
  </si>
  <si>
    <t>18 March 2004</t>
  </si>
  <si>
    <t>11 April 2004</t>
  </si>
  <si>
    <t>10 March 2004</t>
  </si>
  <si>
    <t>12 December 2004</t>
  </si>
  <si>
    <t>7 January 2004</t>
  </si>
  <si>
    <t>12 July 2004</t>
  </si>
  <si>
    <t>4 October 2004</t>
  </si>
  <si>
    <t>28 April 2004</t>
  </si>
  <si>
    <t>3 July 2004</t>
  </si>
  <si>
    <t>30 December 2004</t>
  </si>
  <si>
    <t>21 November 2003</t>
  </si>
  <si>
    <t>4 January 2004</t>
  </si>
  <si>
    <t>12 May 2004</t>
  </si>
  <si>
    <t>16 October 2004</t>
  </si>
  <si>
    <t>12 March 2003</t>
  </si>
  <si>
    <t>19 December 2003</t>
  </si>
  <si>
    <t>30 September 2004</t>
  </si>
  <si>
    <t>27 December 2003</t>
  </si>
  <si>
    <t>15 April 2004</t>
  </si>
  <si>
    <t>9 June 2004</t>
  </si>
  <si>
    <t>16 December 2004</t>
  </si>
  <si>
    <t>25 May 2004</t>
  </si>
  <si>
    <t>16 December 2003</t>
  </si>
  <si>
    <t>18 October 2003</t>
  </si>
  <si>
    <t>17 December 2004</t>
  </si>
  <si>
    <t>31 May 2004</t>
  </si>
  <si>
    <t>29 August 2004</t>
  </si>
  <si>
    <t>5 November 2004</t>
  </si>
  <si>
    <t>25 August 2004</t>
  </si>
  <si>
    <t>23 July 2004</t>
  </si>
  <si>
    <t>30 July 2004</t>
  </si>
  <si>
    <t>18 May 2004</t>
  </si>
  <si>
    <t>1 November 2004</t>
  </si>
  <si>
    <t>7 December 2003</t>
  </si>
  <si>
    <t>17 March 2004</t>
  </si>
  <si>
    <t>19 December 2004</t>
  </si>
  <si>
    <t xml:space="preserve">discussion </t>
  </si>
  <si>
    <t>Respect teachers, classmates and others</t>
  </si>
  <si>
    <t xml:space="preserve">Behaviour </t>
  </si>
  <si>
    <t>Student Behaviour Report</t>
  </si>
  <si>
    <t>Pendidikan Kewarganegaraan</t>
  </si>
  <si>
    <t>Physical Education</t>
  </si>
  <si>
    <t>Eileen Leizel Quilo, B.S. Biology</t>
  </si>
  <si>
    <t>Lydia N. Bajao, B.S.Ed.</t>
  </si>
  <si>
    <t>Raya D. Pararuan, B.S.Ed.</t>
  </si>
  <si>
    <t>2018 / 2019</t>
  </si>
  <si>
    <t>8 October 2018</t>
  </si>
  <si>
    <t>CLARENCE RIONA WIJAYA</t>
  </si>
  <si>
    <t>JULIUS GERALD PHO</t>
  </si>
  <si>
    <t>SHANNON TANADI</t>
  </si>
  <si>
    <t>1031 / 0040871543</t>
  </si>
  <si>
    <t>KIRSTEN JEDIDIAH ALVARO VILLAMOR</t>
  </si>
  <si>
    <t>3 January 2004</t>
  </si>
  <si>
    <t>5 December 2003</t>
  </si>
  <si>
    <t>16 May 2004</t>
  </si>
  <si>
    <t>KAYLIE JEDIDIAH ALVARO VILLAMOR</t>
  </si>
  <si>
    <t>931 / 0044318625</t>
  </si>
  <si>
    <t>NICHOLAS RAFLI</t>
  </si>
  <si>
    <t>18 June 2004</t>
  </si>
  <si>
    <t>SHARON ANGELICA TAN</t>
  </si>
  <si>
    <t>16 July 2004</t>
  </si>
  <si>
    <t>1032 / 0043810606</t>
  </si>
  <si>
    <t>23 August 2004</t>
  </si>
  <si>
    <t>26 December 2003</t>
  </si>
  <si>
    <t>11 June 2004</t>
  </si>
  <si>
    <t>N</t>
  </si>
  <si>
    <t>927 / 0051005964</t>
  </si>
  <si>
    <t>16 January 2005</t>
  </si>
  <si>
    <t>1 September 2005</t>
  </si>
  <si>
    <t>CHERISE INDRAWAN</t>
  </si>
  <si>
    <t>12 August 2005</t>
  </si>
  <si>
    <t>930 / 0054129371</t>
  </si>
  <si>
    <t>904 / 0050875131</t>
  </si>
  <si>
    <t>941 / 0063229828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</si>
  <si>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</si>
  <si>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</si>
  <si>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</si>
  <si>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</si>
  <si>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</si>
  <si>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</si>
  <si>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</si>
  <si>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</si>
  <si>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</si>
  <si>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</si>
  <si>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</si>
  <si>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</si>
  <si>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</si>
  <si>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</si>
  <si>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</si>
  <si>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</si>
  <si>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</si>
  <si>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</si>
  <si>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</si>
  <si>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</si>
  <si>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HARYANTOPUTRI</t>
  </si>
  <si>
    <t>RUSSELL GABRIEL RISWANTO</t>
  </si>
  <si>
    <t>RYAN PATRICK LESMANA</t>
  </si>
  <si>
    <t>SEBASTIAN SAMUEL SETIAWAN</t>
  </si>
  <si>
    <t>SHANNON VICTORIA SOLAIMAN</t>
  </si>
  <si>
    <t>SHARON SASMITA</t>
  </si>
  <si>
    <t>10 April 2006</t>
  </si>
  <si>
    <t>9 November 2006</t>
  </si>
  <si>
    <t>7 September 2006</t>
  </si>
  <si>
    <t>31 January 2006</t>
  </si>
  <si>
    <t>8 July 2006</t>
  </si>
  <si>
    <t>8 September 2006</t>
  </si>
  <si>
    <t>21 March 2006</t>
  </si>
  <si>
    <t>10 February 2006</t>
  </si>
  <si>
    <t>24 December 2005</t>
  </si>
  <si>
    <t>10 October 2006</t>
  </si>
  <si>
    <t>16 April 2006</t>
  </si>
  <si>
    <t>5 April 2006</t>
  </si>
  <si>
    <t>5 September 2006</t>
  </si>
  <si>
    <t>27 February 2006</t>
  </si>
  <si>
    <t>19 May 2006</t>
  </si>
  <si>
    <t>5 December 2006</t>
  </si>
  <si>
    <t>1 September 2006</t>
  </si>
  <si>
    <t>21 April 2006</t>
  </si>
  <si>
    <t>31 May 2006</t>
  </si>
  <si>
    <t>25 November 2006</t>
  </si>
  <si>
    <t>20 February 2006</t>
  </si>
  <si>
    <t>20 August 2006</t>
  </si>
  <si>
    <t>23 September 2006</t>
  </si>
  <si>
    <t>5 October 2006</t>
  </si>
  <si>
    <t>17 February 2006</t>
  </si>
  <si>
    <t>946 / 0064479401</t>
  </si>
  <si>
    <t>952 /0068249082</t>
  </si>
  <si>
    <t>954 / 0068054333</t>
  </si>
  <si>
    <t>958 / 0063862617</t>
  </si>
  <si>
    <t>964 / 0069124442</t>
  </si>
  <si>
    <t>965 / 0062639597</t>
  </si>
  <si>
    <t>966 / 0061824456</t>
  </si>
  <si>
    <t>968 / 0056399916</t>
  </si>
  <si>
    <t>975 / 0068237325</t>
  </si>
  <si>
    <t>979 / 0068671422</t>
  </si>
  <si>
    <t>980 / 0069878454</t>
  </si>
  <si>
    <t>982 / 0064224524</t>
  </si>
  <si>
    <t>984 / 0065983015</t>
  </si>
  <si>
    <t>986 / 0069349628</t>
  </si>
  <si>
    <t>987 / 0064369904</t>
  </si>
  <si>
    <t>991 / 0069750007</t>
  </si>
  <si>
    <t>1005 / 0069154536</t>
  </si>
  <si>
    <t xml:space="preserve">1007 / </t>
  </si>
  <si>
    <t>1009 / 0065611276</t>
  </si>
  <si>
    <t>1010 / 0065536471</t>
  </si>
  <si>
    <t>1015 / 0069199785</t>
  </si>
  <si>
    <t>1016 / 0061502751</t>
  </si>
  <si>
    <t>1017 / 0069388393</t>
  </si>
  <si>
    <t>1020 / 0062288349</t>
  </si>
  <si>
    <t>1022 / 0065337645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</si>
  <si>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</si>
  <si>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</si>
  <si>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</si>
  <si>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</si>
  <si>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</si>
  <si>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</si>
  <si>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</si>
  <si>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</si>
  <si>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</si>
  <si>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</si>
  <si>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</si>
  <si>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SIMANDJUNTAK</t>
  </si>
  <si>
    <t>JAMES SHAN PHILANDER</t>
  </si>
  <si>
    <t>JOSEPHINE TIFFANY SETIO</t>
  </si>
  <si>
    <t>KELLY VALENCIA</t>
  </si>
  <si>
    <t>KENNETH WIDJAJA</t>
  </si>
  <si>
    <t>LAWRENCE FELIX SENTOSA</t>
  </si>
  <si>
    <t>LETICIA NATHANIELLE TIRTONADI</t>
  </si>
  <si>
    <t>MARCIA RAFLI</t>
  </si>
  <si>
    <t>MAXIMILLIAN YANG RUI TALPES</t>
  </si>
  <si>
    <t>MEGAN POETRY SANTOSO</t>
  </si>
  <si>
    <t>NATHANIA AMANDA CHRISARDIANTO</t>
  </si>
  <si>
    <t>RUBEN BENICCIO ABRAHAM TARIGAN</t>
  </si>
  <si>
    <t>TRICIA AUDREY PHOEBE ISKANDAR</t>
  </si>
  <si>
    <t>30 September 2006</t>
  </si>
  <si>
    <t>22 April 2006</t>
  </si>
  <si>
    <t>11 February 2006</t>
  </si>
  <si>
    <t>24 August 2006</t>
  </si>
  <si>
    <t>6 January 2006</t>
  </si>
  <si>
    <t>10 November 2006</t>
  </si>
  <si>
    <t>21 February 2006</t>
  </si>
  <si>
    <t>12 August 2006</t>
  </si>
  <si>
    <t>17 July 2006</t>
  </si>
  <si>
    <t>28 July 2006</t>
  </si>
  <si>
    <t>10 July 2006</t>
  </si>
  <si>
    <t>13 Oktober 2006</t>
  </si>
  <si>
    <t>9 October 2006</t>
  </si>
  <si>
    <t>6 October 2006</t>
  </si>
  <si>
    <t>5 March 2006</t>
  </si>
  <si>
    <t>15 June 2006</t>
  </si>
  <si>
    <t>7 March 2006</t>
  </si>
  <si>
    <t>20 September 2006</t>
  </si>
  <si>
    <t>30 November 2006</t>
  </si>
  <si>
    <t>1 January 2006</t>
  </si>
  <si>
    <t>2 February 2006</t>
  </si>
  <si>
    <t>9 September 2006</t>
  </si>
  <si>
    <t>935 / 0065070391</t>
  </si>
  <si>
    <t>938 / 0067733125</t>
  </si>
  <si>
    <t>939 / 0063415540</t>
  </si>
  <si>
    <t>940 / 0062610226</t>
  </si>
  <si>
    <t>945 / 0061118792</t>
  </si>
  <si>
    <t>948 / 0063138583</t>
  </si>
  <si>
    <t>951 / 0063992444</t>
  </si>
  <si>
    <t>955 / 0062504465</t>
  </si>
  <si>
    <t>961 / 0062580876</t>
  </si>
  <si>
    <t>962 / 0062437466</t>
  </si>
  <si>
    <t>973 / 0064453639</t>
  </si>
  <si>
    <t>976 / 0063606220</t>
  </si>
  <si>
    <t>985 / 0068062636</t>
  </si>
  <si>
    <t>989 / 0063926277</t>
  </si>
  <si>
    <t>990 / 0062259128</t>
  </si>
  <si>
    <t>994 / 0064398420</t>
  </si>
  <si>
    <t>995 / 0064916505</t>
  </si>
  <si>
    <t>998 / 0061235751</t>
  </si>
  <si>
    <t>1000 / 0064861159</t>
  </si>
  <si>
    <t>1002 / 0067224635</t>
  </si>
  <si>
    <t>1004 / 0061508307</t>
  </si>
  <si>
    <t>1014 / 0067126921</t>
  </si>
  <si>
    <t>1026 / 0065276177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</si>
  <si>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</si>
  <si>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</si>
  <si>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</si>
  <si>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</si>
  <si>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</si>
  <si>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</si>
  <si>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</si>
  <si>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</si>
  <si>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</si>
  <si>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</si>
  <si>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</si>
  <si>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</si>
  <si>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</si>
  <si>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</si>
  <si>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</si>
  <si>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</si>
  <si>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</si>
  <si>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</si>
  <si>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</si>
  <si>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</si>
  <si>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</si>
  <si>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</si>
  <si>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</si>
  <si>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</si>
  <si>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</si>
  <si>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21 May 2006</t>
  </si>
  <si>
    <t>16 June 2006</t>
  </si>
  <si>
    <t>11 August 2006</t>
  </si>
  <si>
    <t>7 October 2006</t>
  </si>
  <si>
    <t>5 November 2005</t>
  </si>
  <si>
    <t>15 Mei 2006</t>
  </si>
  <si>
    <t>30 July 2006</t>
  </si>
  <si>
    <t>18 December 2006</t>
  </si>
  <si>
    <t>6 September 2006</t>
  </si>
  <si>
    <t>26 December 2005</t>
  </si>
  <si>
    <t>26 May 2006</t>
  </si>
  <si>
    <t>26 Desember 2006</t>
  </si>
  <si>
    <t>11 March 2006</t>
  </si>
  <si>
    <t>29 January 2006</t>
  </si>
  <si>
    <t>2 April 2006</t>
  </si>
  <si>
    <t>28 February 2006</t>
  </si>
  <si>
    <t>28 June 2006</t>
  </si>
  <si>
    <t>21 September 2006</t>
  </si>
  <si>
    <t>16 October 2006</t>
  </si>
  <si>
    <t>8 August 2006</t>
  </si>
  <si>
    <t>8 January 2006</t>
  </si>
  <si>
    <t>25 August 2006</t>
  </si>
  <si>
    <t>17 October 2006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</si>
  <si>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</si>
  <si>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</si>
  <si>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</si>
  <si>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</si>
  <si>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</si>
  <si>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</si>
  <si>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</si>
  <si>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</si>
  <si>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CALYSTA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</si>
  <si>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</si>
  <si>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</si>
  <si>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</si>
  <si>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</si>
  <si>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</si>
  <si>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</si>
  <si>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</si>
  <si>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</si>
  <si>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</si>
  <si>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</si>
  <si>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</si>
  <si>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</si>
  <si>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</si>
  <si>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</si>
  <si>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</si>
  <si>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31 March 2006</t>
  </si>
  <si>
    <t>28 November 2006</t>
  </si>
  <si>
    <t>20 July 2006</t>
  </si>
  <si>
    <t>14 December 2005</t>
  </si>
  <si>
    <t>3 January 2006</t>
  </si>
  <si>
    <t>17 August 2006</t>
  </si>
  <si>
    <t>1 February 2006</t>
  </si>
  <si>
    <t>24 June 2006</t>
  </si>
  <si>
    <t>27 October 2005</t>
  </si>
  <si>
    <t>29 July 2006</t>
  </si>
  <si>
    <t>13 August 2006</t>
  </si>
  <si>
    <t>3 February 2006</t>
  </si>
  <si>
    <t>17 March 2006</t>
  </si>
  <si>
    <t>29 April 2006</t>
  </si>
  <si>
    <t>12 March 2006</t>
  </si>
  <si>
    <t>24 November 2005</t>
  </si>
  <si>
    <t>12 November 2006</t>
  </si>
  <si>
    <t>14 February 2006</t>
  </si>
  <si>
    <t>17 May 2006</t>
  </si>
  <si>
    <t>936 / 0067727982</t>
  </si>
  <si>
    <t>944 / 0067111179</t>
  </si>
  <si>
    <t>947 / 0065743102</t>
  </si>
  <si>
    <t>949 / 0066745076</t>
  </si>
  <si>
    <t>950 / 0057593517</t>
  </si>
  <si>
    <t>953 / 0062587081</t>
  </si>
  <si>
    <t>956 / 0069156485</t>
  </si>
  <si>
    <t>963 / 0062698923</t>
  </si>
  <si>
    <t>967 / 0067768294</t>
  </si>
  <si>
    <t>969 / 0052795687</t>
  </si>
  <si>
    <t>972 / 0062324344</t>
  </si>
  <si>
    <t>947 / 0064814464</t>
  </si>
  <si>
    <t>977 / 0067238287</t>
  </si>
  <si>
    <t>981 / 0068862507</t>
  </si>
  <si>
    <t>993 / 0064320016</t>
  </si>
  <si>
    <t>999 / 0067026893</t>
  </si>
  <si>
    <t>1006 / 0066783095</t>
  </si>
  <si>
    <t>1008 / 0061524809</t>
  </si>
  <si>
    <t>1012 / 0068457960</t>
  </si>
  <si>
    <t>1013 / 0069161515</t>
  </si>
  <si>
    <t>1018 / 0068178051</t>
  </si>
  <si>
    <t>1023 / 0064169314</t>
  </si>
  <si>
    <t>1024 / 0065383733</t>
  </si>
  <si>
    <t>1027 / 0068538609</t>
  </si>
  <si>
    <t>1028 / 0066935629</t>
  </si>
  <si>
    <t>932 / 0063919268</t>
  </si>
  <si>
    <t>933 / 0063903656</t>
  </si>
  <si>
    <t>937 / 0067868872</t>
  </si>
  <si>
    <t>942 / 0065188091</t>
  </si>
  <si>
    <t>943 / 0058770570</t>
  </si>
  <si>
    <t>957 / 0061082967</t>
  </si>
  <si>
    <t>959 / 0051790964</t>
  </si>
  <si>
    <t>960 / 0061394975</t>
  </si>
  <si>
    <t>970 / 0061179296</t>
  </si>
  <si>
    <t>971 / 0067704822</t>
  </si>
  <si>
    <t>978 / 0053696381</t>
  </si>
  <si>
    <t>983 / 0062983291</t>
  </si>
  <si>
    <t>988 / 0064021633</t>
  </si>
  <si>
    <t>992 / 0069336485</t>
  </si>
  <si>
    <t>996 / 0068411398</t>
  </si>
  <si>
    <t>997 / 0063960220</t>
  </si>
  <si>
    <t>1001 / 0069418055</t>
  </si>
  <si>
    <t>1003 / 0061666446</t>
  </si>
  <si>
    <t>1011 / 0062951175</t>
  </si>
  <si>
    <t>1019 / 0051532134</t>
  </si>
  <si>
    <t>1021 / 0069734266</t>
  </si>
  <si>
    <t>1025 / 0062191186</t>
  </si>
  <si>
    <t>1029 / 0066552963</t>
  </si>
  <si>
    <t>1030 / 0065702225</t>
  </si>
  <si>
    <t>934 / 0064038203</t>
  </si>
  <si>
    <t>Melody Pininta Kasih, S.S.</t>
  </si>
  <si>
    <t>Radot Jefri, S.T.</t>
  </si>
  <si>
    <t>Albertinus Barus, S.T.</t>
  </si>
  <si>
    <t>Daniel W. Purba, S.Si.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</si>
</sst>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Times New Roman"/>
      <family val="1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40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8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7" fillId="0" borderId="4" xfId="0" quotePrefix="1" applyFont="1" applyFill="1" applyBorder="1" applyAlignment="1">
      <alignment vertical="center"/>
    </xf>
    <xf numFmtId="0" fontId="7" fillId="0" borderId="4" xfId="0" quotePrefix="1" applyFont="1" applyFill="1" applyBorder="1" applyAlignment="1">
      <alignment horizontal="left" vertical="center"/>
    </xf>
    <xf numFmtId="0" fontId="7" fillId="0" borderId="3" xfId="0" quotePrefix="1" applyFont="1" applyFill="1" applyBorder="1" applyAlignment="1">
      <alignment horizontal="left" vertical="center"/>
    </xf>
    <xf numFmtId="0" fontId="7" fillId="0" borderId="3" xfId="0" quotePrefix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9" fillId="0" borderId="4" xfId="0" quotePrefix="1" applyNumberFormat="1" applyFont="1" applyFill="1" applyBorder="1" applyAlignment="1">
      <alignment horizontal="center" vertical="center"/>
    </xf>
    <xf numFmtId="0" fontId="9" fillId="0" borderId="3" xfId="0" quotePrefix="1" applyNumberFormat="1" applyFont="1" applyFill="1" applyBorder="1" applyAlignment="1">
      <alignment horizontal="center" vertical="center" wrapText="1"/>
    </xf>
    <xf numFmtId="0" fontId="9" fillId="0" borderId="3" xfId="0" quotePrefix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4" borderId="3" xfId="0" applyFill="1" applyBorder="1" applyAlignment="1">
      <alignment horizontal="center"/>
    </xf>
    <xf numFmtId="49" fontId="0" fillId="0" borderId="3" xfId="0" applyNumberFormat="1" applyFont="1" applyBorder="1" applyAlignment="1">
      <alignment vertical="center"/>
    </xf>
    <xf numFmtId="49" fontId="0" fillId="0" borderId="3" xfId="0" applyNumberFormat="1" applyFont="1" applyFill="1" applyBorder="1" applyAlignment="1">
      <alignment vertical="center" shrinkToFi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shrinkToFit="1"/>
    </xf>
    <xf numFmtId="49" fontId="0" fillId="0" borderId="3" xfId="0" applyNumberFormat="1" applyBorder="1" applyAlignment="1">
      <alignment horizontal="center" vertical="center" wrapText="1"/>
    </xf>
    <xf numFmtId="0" fontId="0" fillId="0" borderId="0" xfId="0" applyBorder="1"/>
    <xf numFmtId="0" fontId="10" fillId="9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49" fontId="0" fillId="0" borderId="3" xfId="0" applyNumberFormat="1" applyFont="1" applyBorder="1" applyAlignment="1">
      <alignment horizontal="left" vertical="center"/>
    </xf>
    <xf numFmtId="49" fontId="0" fillId="0" borderId="3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0" fillId="0" borderId="3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0" fillId="0" borderId="2" xfId="0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left"/>
      <protection hidden="1"/>
    </xf>
    <xf numFmtId="0" fontId="1" fillId="0" borderId="17" xfId="0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16" fillId="0" borderId="0" xfId="0" applyFont="1" applyAlignment="1" applyProtection="1">
      <protection hidden="1"/>
    </xf>
    <xf numFmtId="0" fontId="14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0" borderId="3" xfId="0" applyNumberFormat="1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quotePrefix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0" xfId="0" applyNumberFormat="1" applyAlignment="1" applyProtection="1">
      <alignment horizontal="center"/>
      <protection hidden="1"/>
    </xf>
    <xf numFmtId="0" fontId="11" fillId="9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0" fillId="10" borderId="10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10" borderId="11" xfId="0" applyFill="1" applyBorder="1" applyProtection="1">
      <protection hidden="1"/>
    </xf>
    <xf numFmtId="0" fontId="0" fillId="12" borderId="0" xfId="0" applyFill="1" applyProtection="1">
      <protection hidden="1"/>
    </xf>
    <xf numFmtId="0" fontId="0" fillId="10" borderId="12" xfId="0" applyFill="1" applyBorder="1" applyProtection="1">
      <protection hidden="1"/>
    </xf>
    <xf numFmtId="0" fontId="0" fillId="10" borderId="13" xfId="0" applyFill="1" applyBorder="1" applyProtection="1">
      <protection hidden="1"/>
    </xf>
    <xf numFmtId="0" fontId="0" fillId="10" borderId="0" xfId="0" applyFill="1" applyBorder="1" applyProtection="1">
      <protection hidden="1"/>
    </xf>
    <xf numFmtId="0" fontId="1" fillId="11" borderId="4" xfId="0" applyFont="1" applyFill="1" applyBorder="1" applyAlignment="1" applyProtection="1">
      <alignment horizontal="center" vertical="center"/>
      <protection hidden="1"/>
    </xf>
    <xf numFmtId="0" fontId="1" fillId="10" borderId="0" xfId="0" applyFont="1" applyFill="1" applyBorder="1" applyAlignment="1" applyProtection="1">
      <alignment horizontal="center" vertical="center"/>
      <protection hidden="1"/>
    </xf>
    <xf numFmtId="0" fontId="1" fillId="11" borderId="4" xfId="0" applyFont="1" applyFill="1" applyBorder="1" applyAlignment="1" applyProtection="1">
      <alignment horizontal="center"/>
      <protection hidden="1"/>
    </xf>
    <xf numFmtId="0" fontId="0" fillId="10" borderId="14" xfId="0" applyFill="1" applyBorder="1" applyProtection="1">
      <protection hidden="1"/>
    </xf>
    <xf numFmtId="0" fontId="0" fillId="10" borderId="2" xfId="0" applyFill="1" applyBorder="1" applyProtection="1">
      <protection hidden="1"/>
    </xf>
    <xf numFmtId="0" fontId="0" fillId="10" borderId="15" xfId="0" applyFill="1" applyBorder="1" applyProtection="1">
      <protection hidden="1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49" fontId="17" fillId="0" borderId="3" xfId="0" quotePrefix="1" applyNumberFormat="1" applyFont="1" applyFill="1" applyBorder="1" applyAlignment="1">
      <alignment vertical="center" wrapText="1"/>
    </xf>
    <xf numFmtId="49" fontId="18" fillId="0" borderId="3" xfId="0" quotePrefix="1" applyNumberFormat="1" applyFont="1" applyFill="1" applyBorder="1" applyAlignment="1">
      <alignment horizontal="left" vertical="center" wrapText="1"/>
    </xf>
    <xf numFmtId="0" fontId="17" fillId="0" borderId="3" xfId="0" quotePrefix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8" fillId="0" borderId="3" xfId="0" quotePrefix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quotePrefix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0" fillId="0" borderId="3" xfId="0" quotePrefix="1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8" fillId="0" borderId="20" xfId="0" quotePrefix="1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left" vertical="center"/>
    </xf>
    <xf numFmtId="2" fontId="0" fillId="0" borderId="3" xfId="0" applyNumberFormat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quotePrefix="1" applyNumberFormat="1" applyBorder="1" applyAlignment="1">
      <alignment horizontal="left" vertical="center"/>
    </xf>
    <xf numFmtId="49" fontId="0" fillId="0" borderId="3" xfId="0" quotePrefix="1" applyNumberForma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5" fontId="0" fillId="0" borderId="3" xfId="0" quotePrefix="1" applyNumberFormat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9" fontId="0" fillId="0" borderId="5" xfId="0" applyNumberFormat="1" applyFill="1" applyBorder="1" applyAlignment="1">
      <alignment vertical="center"/>
    </xf>
    <xf numFmtId="49" fontId="0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quotePrefix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/>
    </xf>
    <xf numFmtId="0" fontId="10" fillId="9" borderId="3" xfId="0" applyFont="1" applyFill="1" applyBorder="1" applyAlignment="1" applyProtection="1">
      <alignment horizontal="center"/>
      <protection hidden="1"/>
    </xf>
    <xf numFmtId="0" fontId="10" fillId="9" borderId="3" xfId="0" applyFont="1" applyFill="1" applyBorder="1" applyAlignment="1">
      <alignment horizontal="center"/>
    </xf>
    <xf numFmtId="0" fontId="15" fillId="10" borderId="0" xfId="0" applyFont="1" applyFill="1" applyBorder="1" applyAlignment="1" applyProtection="1">
      <alignment horizontal="center"/>
      <protection hidden="1"/>
    </xf>
    <xf numFmtId="0" fontId="13" fillId="10" borderId="0" xfId="0" applyFont="1" applyFill="1" applyBorder="1" applyAlignment="1" applyProtection="1">
      <alignment horizontal="center"/>
      <protection hidden="1"/>
    </xf>
    <xf numFmtId="0" fontId="0" fillId="11" borderId="9" xfId="0" applyFont="1" applyFill="1" applyBorder="1" applyAlignment="1" applyProtection="1">
      <alignment horizontal="center" vertical="center"/>
      <protection locked="0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0" fontId="0" fillId="11" borderId="9" xfId="0" quotePrefix="1" applyFill="1" applyBorder="1" applyAlignment="1" applyProtection="1">
      <alignment horizontal="center"/>
      <protection locked="0"/>
    </xf>
    <xf numFmtId="0" fontId="0" fillId="11" borderId="8" xfId="0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center" vertical="center"/>
    </xf>
    <xf numFmtId="0" fontId="10" fillId="9" borderId="3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10" fillId="9" borderId="4" xfId="0" applyFont="1" applyFill="1" applyBorder="1" applyAlignment="1" applyProtection="1">
      <alignment horizontal="center"/>
      <protection hidden="1"/>
    </xf>
    <xf numFmtId="0" fontId="10" fillId="9" borderId="9" xfId="0" applyFont="1" applyFill="1" applyBorder="1" applyAlignment="1" applyProtection="1">
      <alignment horizontal="center"/>
      <protection hidden="1"/>
    </xf>
    <xf numFmtId="0" fontId="10" fillId="9" borderId="8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10" fillId="9" borderId="3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/>
    </xf>
    <xf numFmtId="0" fontId="10" fillId="9" borderId="6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3</xdr:row>
      <xdr:rowOff>152399</xdr:rowOff>
    </xdr:from>
    <xdr:to>
      <xdr:col>8</xdr:col>
      <xdr:colOff>85725</xdr:colOff>
      <xdr:row>10</xdr:row>
      <xdr:rowOff>142874</xdr:rowOff>
    </xdr:to>
    <xdr:pic>
      <xdr:nvPicPr>
        <xdr:cNvPr id="2" name="officeArt object">
          <a:extLst>
            <a:ext uri="{FF2B5EF4-FFF2-40B4-BE49-F238E27FC236}">
              <a16:creationId xmlns="" xmlns:a16="http://schemas.microsoft.com/office/drawing/2014/main" id="{3EDCE84A-2466-4F0B-8193-6D55FA43714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3686175" y="1447799"/>
          <a:ext cx="1276350" cy="1323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0</xdr:col>
      <xdr:colOff>0</xdr:colOff>
      <xdr:row>15</xdr:row>
      <xdr:rowOff>28576</xdr:rowOff>
    </xdr:from>
    <xdr:to>
      <xdr:col>3</xdr:col>
      <xdr:colOff>50984</xdr:colOff>
      <xdr:row>18</xdr:row>
      <xdr:rowOff>180976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3C19CDC9-BB2A-4AD1-8937-600BFE306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09976"/>
          <a:ext cx="1879784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101600</xdr:rowOff>
    </xdr:to>
    <xdr:pic>
      <xdr:nvPicPr>
        <xdr:cNvPr id="2" name="officeArt object">
          <a:extLst>
            <a:ext uri="{FF2B5EF4-FFF2-40B4-BE49-F238E27FC236}">
              <a16:creationId xmlns="" xmlns:a16="http://schemas.microsoft.com/office/drawing/2014/main" id="{4535E1C7-97AF-4396-B668-4287FA2089B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59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104775</xdr:rowOff>
    </xdr:to>
    <xdr:pic>
      <xdr:nvPicPr>
        <xdr:cNvPr id="3" name="officeArt object">
          <a:extLst>
            <a:ext uri="{FF2B5EF4-FFF2-40B4-BE49-F238E27FC236}">
              <a16:creationId xmlns="" xmlns:a16="http://schemas.microsoft.com/office/drawing/2014/main" id="{91F52414-249E-416A-B8F5-6B1F47D6C8B7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9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0</xdr:row>
      <xdr:rowOff>85725</xdr:rowOff>
    </xdr:from>
    <xdr:to>
      <xdr:col>0</xdr:col>
      <xdr:colOff>685801</xdr:colOff>
      <xdr:row>2</xdr:row>
      <xdr:rowOff>111125</xdr:rowOff>
    </xdr:to>
    <xdr:pic>
      <xdr:nvPicPr>
        <xdr:cNvPr id="2" name="officeArt object">
          <a:extLst>
            <a:ext uri="{FF2B5EF4-FFF2-40B4-BE49-F238E27FC236}">
              <a16:creationId xmlns="" xmlns:a16="http://schemas.microsoft.com/office/drawing/2014/main" id="{308C574E-E85E-404E-BBDB-625CEB810B94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171451" y="85725"/>
          <a:ext cx="514350" cy="6286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46</xdr:row>
      <xdr:rowOff>31720</xdr:rowOff>
    </xdr:from>
    <xdr:to>
      <xdr:col>0</xdr:col>
      <xdr:colOff>547056</xdr:colOff>
      <xdr:row>48</xdr:row>
      <xdr:rowOff>98720</xdr:rowOff>
    </xdr:to>
    <xdr:pic>
      <xdr:nvPicPr>
        <xdr:cNvPr id="5" name="B814FCD4-A440-4250-B37C-06C6483F39A7-L0-001.png">
          <a:extLst>
            <a:ext uri="{FF2B5EF4-FFF2-40B4-BE49-F238E27FC236}">
              <a16:creationId xmlns="" xmlns:a16="http://schemas.microsoft.com/office/drawing/2014/main" id="{04B7ACE3-8EFB-4FDF-B48E-D35FF6FB8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45</xdr:row>
      <xdr:rowOff>152400</xdr:rowOff>
    </xdr:from>
    <xdr:to>
      <xdr:col>8</xdr:col>
      <xdr:colOff>561340</xdr:colOff>
      <xdr:row>49</xdr:row>
      <xdr:rowOff>17780</xdr:rowOff>
    </xdr:to>
    <xdr:sp macro="" textlink="">
      <xdr:nvSpPr>
        <xdr:cNvPr id="7" name="officeArt object">
          <a:extLst>
            <a:ext uri="{FF2B5EF4-FFF2-40B4-BE49-F238E27FC236}">
              <a16:creationId xmlns="" xmlns:a16="http://schemas.microsoft.com/office/drawing/2014/main" id="{CCADBDEA-1760-4E6C-A90D-922B514FDA0B}"/>
            </a:ext>
          </a:extLst>
        </xdr:cNvPr>
        <xdr:cNvSpPr txBox="1"/>
      </xdr:nvSpPr>
      <xdr:spPr>
        <a:xfrm>
          <a:off x="3219450" y="8953500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44</xdr:row>
      <xdr:rowOff>152400</xdr:rowOff>
    </xdr:from>
    <xdr:to>
      <xdr:col>3</xdr:col>
      <xdr:colOff>174809</xdr:colOff>
      <xdr:row>49</xdr:row>
      <xdr:rowOff>38100</xdr:rowOff>
    </xdr:to>
    <xdr:grpSp>
      <xdr:nvGrpSpPr>
        <xdr:cNvPr id="9" name="Group 8">
          <a:extLst>
            <a:ext uri="{FF2B5EF4-FFF2-40B4-BE49-F238E27FC236}">
              <a16:creationId xmlns="" xmlns:a16="http://schemas.microsoft.com/office/drawing/2014/main" id="{BCC1B806-97EC-403C-8567-28963C49436C}"/>
            </a:ext>
          </a:extLst>
        </xdr:cNvPr>
        <xdr:cNvGrpSpPr/>
      </xdr:nvGrpSpPr>
      <xdr:grpSpPr>
        <a:xfrm>
          <a:off x="104775" y="9420225"/>
          <a:ext cx="2203634" cy="838200"/>
          <a:chOff x="104775" y="8982075"/>
          <a:chExt cx="2203634" cy="838200"/>
        </a:xfrm>
      </xdr:grpSpPr>
      <xdr:sp macro="" textlink="">
        <xdr:nvSpPr>
          <xdr:cNvPr id="6" name="Shape 1073741834">
            <a:extLst>
              <a:ext uri="{FF2B5EF4-FFF2-40B4-BE49-F238E27FC236}">
                <a16:creationId xmlns="" xmlns:a16="http://schemas.microsoft.com/office/drawing/2014/main" id="{B48B0BF8-1418-46D3-91D9-065625B56F77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8" name="Picture 7">
            <a:extLst>
              <a:ext uri="{FF2B5EF4-FFF2-40B4-BE49-F238E27FC236}">
                <a16:creationId xmlns="" xmlns:a16="http://schemas.microsoft.com/office/drawing/2014/main" id="{5B89D7F3-D29F-463B-838D-37BA409B1E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104775</xdr:colOff>
      <xdr:row>103</xdr:row>
      <xdr:rowOff>31720</xdr:rowOff>
    </xdr:from>
    <xdr:to>
      <xdr:col>0</xdr:col>
      <xdr:colOff>547056</xdr:colOff>
      <xdr:row>105</xdr:row>
      <xdr:rowOff>98720</xdr:rowOff>
    </xdr:to>
    <xdr:pic>
      <xdr:nvPicPr>
        <xdr:cNvPr id="10" name="B814FCD4-A440-4250-B37C-06C6483F39A7-L0-001.png">
          <a:extLst>
            <a:ext uri="{FF2B5EF4-FFF2-40B4-BE49-F238E27FC236}">
              <a16:creationId xmlns="" xmlns:a16="http://schemas.microsoft.com/office/drawing/2014/main" id="{2899B4CB-51A2-45B9-9989-B3867F66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102</xdr:row>
      <xdr:rowOff>152400</xdr:rowOff>
    </xdr:from>
    <xdr:to>
      <xdr:col>8</xdr:col>
      <xdr:colOff>561340</xdr:colOff>
      <xdr:row>106</xdr:row>
      <xdr:rowOff>17780</xdr:rowOff>
    </xdr:to>
    <xdr:sp macro="" textlink="">
      <xdr:nvSpPr>
        <xdr:cNvPr id="11" name="officeArt object">
          <a:extLst>
            <a:ext uri="{FF2B5EF4-FFF2-40B4-BE49-F238E27FC236}">
              <a16:creationId xmlns="" xmlns:a16="http://schemas.microsoft.com/office/drawing/2014/main" id="{F0510C8F-E12E-4062-92E3-5A1C53F74C96}"/>
            </a:ext>
          </a:extLst>
        </xdr:cNvPr>
        <xdr:cNvSpPr txBox="1"/>
      </xdr:nvSpPr>
      <xdr:spPr>
        <a:xfrm>
          <a:off x="3219450" y="9172575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101</xdr:row>
      <xdr:rowOff>152400</xdr:rowOff>
    </xdr:from>
    <xdr:to>
      <xdr:col>3</xdr:col>
      <xdr:colOff>174809</xdr:colOff>
      <xdr:row>106</xdr:row>
      <xdr:rowOff>38100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F7BFE707-BAAA-4CC5-8DCD-20EB62BD25F6}"/>
            </a:ext>
          </a:extLst>
        </xdr:cNvPr>
        <xdr:cNvGrpSpPr/>
      </xdr:nvGrpSpPr>
      <xdr:grpSpPr>
        <a:xfrm>
          <a:off x="104775" y="19840575"/>
          <a:ext cx="2203634" cy="838200"/>
          <a:chOff x="104775" y="8982075"/>
          <a:chExt cx="2203634" cy="838200"/>
        </a:xfrm>
      </xdr:grpSpPr>
      <xdr:sp macro="" textlink="">
        <xdr:nvSpPr>
          <xdr:cNvPr id="13" name="Shape 1073741834">
            <a:extLst>
              <a:ext uri="{FF2B5EF4-FFF2-40B4-BE49-F238E27FC236}">
                <a16:creationId xmlns="" xmlns:a16="http://schemas.microsoft.com/office/drawing/2014/main" id="{EFCE4184-5E89-4ABA-AE2B-684B65BCA892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14" name="Picture 13">
            <a:extLst>
              <a:ext uri="{FF2B5EF4-FFF2-40B4-BE49-F238E27FC236}">
                <a16:creationId xmlns="" xmlns:a16="http://schemas.microsoft.com/office/drawing/2014/main" id="{02E73BA7-8377-45DB-80CA-E86284B438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33"/>
  <sheetViews>
    <sheetView workbookViewId="0">
      <selection activeCell="C14" sqref="C14"/>
    </sheetView>
  </sheetViews>
  <sheetFormatPr defaultColWidth="9.140625" defaultRowHeight="15" x14ac:dyDescent="0.25"/>
  <cols>
    <col min="1" max="16" width="9.140625" style="87"/>
    <col min="17" max="17" width="0" style="87" hidden="1" customWidth="1"/>
    <col min="18" max="20" width="9.140625" style="87" hidden="1" customWidth="1"/>
    <col min="21" max="21" width="0" style="87" hidden="1" customWidth="1"/>
    <col min="22" max="16384" width="9.140625" style="87"/>
  </cols>
  <sheetData>
    <row r="1" spans="1:14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1:14" ht="51" x14ac:dyDescent="0.75">
      <c r="A2" s="88"/>
      <c r="B2" s="156" t="s">
        <v>190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89"/>
    </row>
    <row r="3" spans="1:14" ht="36" x14ac:dyDescent="0.55000000000000004">
      <c r="A3" s="88"/>
      <c r="B3" s="157" t="s">
        <v>2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89"/>
    </row>
    <row r="4" spans="1:14" x14ac:dyDescent="0.25">
      <c r="A4" s="88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89"/>
    </row>
    <row r="5" spans="1:14" x14ac:dyDescent="0.25">
      <c r="A5" s="88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89"/>
    </row>
    <row r="6" spans="1:14" x14ac:dyDescent="0.25">
      <c r="A6" s="8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89"/>
    </row>
    <row r="7" spans="1:14" x14ac:dyDescent="0.25">
      <c r="A7" s="88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89"/>
    </row>
    <row r="8" spans="1:14" x14ac:dyDescent="0.25">
      <c r="A8" s="88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89"/>
    </row>
    <row r="9" spans="1:14" x14ac:dyDescent="0.25">
      <c r="A9" s="88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89"/>
    </row>
    <row r="10" spans="1:14" x14ac:dyDescent="0.25">
      <c r="A10" s="88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89"/>
    </row>
    <row r="11" spans="1:14" x14ac:dyDescent="0.25">
      <c r="A11" s="88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89"/>
    </row>
    <row r="12" spans="1:14" x14ac:dyDescent="0.25">
      <c r="A12" s="88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89"/>
    </row>
    <row r="13" spans="1:14" x14ac:dyDescent="0.25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89"/>
    </row>
    <row r="14" spans="1:14" x14ac:dyDescent="0.25">
      <c r="A14" s="88"/>
      <c r="B14" s="91" t="s">
        <v>191</v>
      </c>
      <c r="C14" s="97">
        <v>9.1</v>
      </c>
      <c r="D14" s="92"/>
      <c r="E14" s="92"/>
      <c r="F14" s="91" t="s">
        <v>192</v>
      </c>
      <c r="G14" s="97" t="s">
        <v>26</v>
      </c>
      <c r="H14" s="92"/>
      <c r="I14" s="92"/>
      <c r="J14" s="92"/>
      <c r="K14" s="91" t="s">
        <v>193</v>
      </c>
      <c r="L14" s="158" t="s">
        <v>602</v>
      </c>
      <c r="M14" s="159"/>
      <c r="N14" s="89"/>
    </row>
    <row r="15" spans="1:14" x14ac:dyDescent="0.25">
      <c r="A15" s="88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89"/>
    </row>
    <row r="16" spans="1:14" x14ac:dyDescent="0.25">
      <c r="A16" s="88"/>
      <c r="B16" s="90"/>
      <c r="C16" s="90"/>
      <c r="D16" s="90"/>
      <c r="E16" s="90"/>
      <c r="F16" s="90"/>
      <c r="G16" s="90"/>
      <c r="H16" s="90"/>
      <c r="I16" s="90"/>
      <c r="J16" s="90"/>
      <c r="K16" s="93" t="s">
        <v>197</v>
      </c>
      <c r="L16" s="160" t="s">
        <v>603</v>
      </c>
      <c r="M16" s="161"/>
      <c r="N16" s="89"/>
    </row>
    <row r="17" spans="1:20" x14ac:dyDescent="0.25">
      <c r="A17" s="88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89"/>
    </row>
    <row r="18" spans="1:20" x14ac:dyDescent="0.25">
      <c r="A18" s="88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89"/>
    </row>
    <row r="19" spans="1:20" x14ac:dyDescent="0.25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6"/>
    </row>
    <row r="22" spans="1:20" x14ac:dyDescent="0.25">
      <c r="R22" s="87">
        <v>7.1</v>
      </c>
      <c r="T22" s="87" t="s">
        <v>26</v>
      </c>
    </row>
    <row r="23" spans="1:20" x14ac:dyDescent="0.25">
      <c r="R23" s="87">
        <v>7.2</v>
      </c>
      <c r="T23" s="87" t="s">
        <v>196</v>
      </c>
    </row>
    <row r="24" spans="1:20" x14ac:dyDescent="0.25">
      <c r="R24" s="87">
        <v>7.3</v>
      </c>
    </row>
    <row r="25" spans="1:20" x14ac:dyDescent="0.25">
      <c r="R25" s="87">
        <v>7.4</v>
      </c>
    </row>
    <row r="26" spans="1:20" x14ac:dyDescent="0.25">
      <c r="R26" s="87">
        <v>8.1</v>
      </c>
    </row>
    <row r="27" spans="1:20" x14ac:dyDescent="0.25">
      <c r="R27" s="87">
        <v>8.1999999999999993</v>
      </c>
    </row>
    <row r="28" spans="1:20" x14ac:dyDescent="0.25">
      <c r="R28" s="87">
        <v>8.3000000000000007</v>
      </c>
    </row>
    <row r="29" spans="1:20" x14ac:dyDescent="0.25">
      <c r="R29" s="87">
        <v>8.4</v>
      </c>
    </row>
    <row r="30" spans="1:20" x14ac:dyDescent="0.25">
      <c r="R30" s="87">
        <v>9.1</v>
      </c>
    </row>
    <row r="31" spans="1:20" x14ac:dyDescent="0.25">
      <c r="R31" s="87">
        <v>9.1999999999999993</v>
      </c>
    </row>
    <row r="32" spans="1:20" x14ac:dyDescent="0.25">
      <c r="R32" s="87">
        <v>9.3000000000000007</v>
      </c>
    </row>
    <row r="33" spans="18:18" x14ac:dyDescent="0.25">
      <c r="R33" s="87">
        <v>9.4</v>
      </c>
    </row>
  </sheetData>
  <sheetProtection algorithmName="SHA-512" hashValue="G2uM1dSu3apti/tPCX+DJNle618ELrIeCa4MODz/uE17WEPOEXxq9NE+0bzbGxCH++kZIsdNMJgu0hQk+GGt8w==" saltValue="Ih3B1nIjccviJI5aXDqsAg==" spinCount="100000" sheet="1" objects="1" scenarios="1"/>
  <mergeCells count="4">
    <mergeCell ref="B2:M2"/>
    <mergeCell ref="B3:M3"/>
    <mergeCell ref="L14:M14"/>
    <mergeCell ref="L16:M16"/>
  </mergeCells>
  <dataValidations count="2">
    <dataValidation type="list" allowBlank="1" showInputMessage="1" showErrorMessage="1" sqref="C14">
      <formula1>$R$21:$R$33</formula1>
    </dataValidation>
    <dataValidation type="list" allowBlank="1" showInputMessage="1" showErrorMessage="1" sqref="T22 G14">
      <formula1>$T$21:$T$23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114"/>
  <sheetViews>
    <sheetView showGridLines="0" topLeftCell="H1" workbookViewId="0">
      <selection activeCell="U70" sqref="U1:U1048576"/>
    </sheetView>
  </sheetViews>
  <sheetFormatPr defaultColWidth="9.140625" defaultRowHeight="15" x14ac:dyDescent="0.25"/>
  <cols>
    <col min="1" max="1" width="5.7109375" style="5" customWidth="1"/>
    <col min="2" max="2" width="16.7109375" style="5" customWidth="1"/>
    <col min="3" max="3" width="30.7109375" style="5" customWidth="1"/>
    <col min="4" max="4" width="8.7109375" style="6" customWidth="1"/>
    <col min="5" max="5" width="20.7109375" style="6" customWidth="1"/>
    <col min="6" max="6" width="6.7109375" style="6" customWidth="1"/>
    <col min="7" max="7" width="9.140625" style="5"/>
    <col min="8" max="8" width="5.7109375" style="5" customWidth="1"/>
    <col min="9" max="9" width="16.7109375" style="6" customWidth="1"/>
    <col min="10" max="10" width="30.7109375" style="5" customWidth="1"/>
    <col min="11" max="11" width="8.7109375" style="6" customWidth="1"/>
    <col min="12" max="12" width="20.7109375" style="6" customWidth="1"/>
    <col min="13" max="13" width="6.7109375" style="6" customWidth="1"/>
    <col min="14" max="14" width="9.140625" style="5"/>
    <col min="15" max="15" width="5.7109375" style="5" customWidth="1"/>
    <col min="16" max="16" width="16.7109375" style="5" customWidth="1"/>
    <col min="17" max="17" width="30.7109375" style="5" customWidth="1"/>
    <col min="18" max="18" width="8.7109375" style="6" customWidth="1"/>
    <col min="19" max="19" width="20.7109375" style="6" customWidth="1"/>
    <col min="20" max="20" width="6.7109375" style="6" customWidth="1"/>
    <col min="21" max="16384" width="9.140625" style="5"/>
  </cols>
  <sheetData>
    <row r="1" spans="1:20" ht="23.25" x14ac:dyDescent="0.25">
      <c r="A1" s="162" t="s">
        <v>165</v>
      </c>
      <c r="B1" s="162"/>
      <c r="C1" s="162"/>
      <c r="D1" s="162"/>
      <c r="E1" s="162"/>
      <c r="F1" s="162"/>
      <c r="H1" s="162" t="s">
        <v>166</v>
      </c>
      <c r="I1" s="162"/>
      <c r="J1" s="162"/>
      <c r="K1" s="162"/>
      <c r="L1" s="162"/>
      <c r="M1" s="162"/>
      <c r="O1" s="162" t="s">
        <v>167</v>
      </c>
      <c r="P1" s="162"/>
      <c r="Q1" s="162"/>
      <c r="R1" s="162"/>
      <c r="S1" s="162"/>
      <c r="T1" s="162"/>
    </row>
    <row r="3" spans="1:20" x14ac:dyDescent="0.25">
      <c r="A3" s="7" t="s">
        <v>164</v>
      </c>
      <c r="B3" s="123">
        <v>7.1</v>
      </c>
      <c r="H3" s="7" t="s">
        <v>164</v>
      </c>
      <c r="I3" s="123">
        <v>8.1</v>
      </c>
      <c r="O3" s="7" t="s">
        <v>164</v>
      </c>
      <c r="P3" s="123">
        <v>9.1</v>
      </c>
    </row>
    <row r="4" spans="1:20" x14ac:dyDescent="0.25">
      <c r="A4" s="124" t="s">
        <v>160</v>
      </c>
      <c r="B4" s="124" t="s">
        <v>28</v>
      </c>
      <c r="C4" s="124" t="s">
        <v>161</v>
      </c>
      <c r="D4" s="124" t="s">
        <v>162</v>
      </c>
      <c r="E4" s="124" t="s">
        <v>163</v>
      </c>
      <c r="F4" s="124" t="s">
        <v>181</v>
      </c>
      <c r="H4" s="125" t="s">
        <v>160</v>
      </c>
      <c r="I4" s="125" t="s">
        <v>28</v>
      </c>
      <c r="J4" s="125" t="s">
        <v>161</v>
      </c>
      <c r="K4" s="125" t="s">
        <v>162</v>
      </c>
      <c r="L4" s="125" t="s">
        <v>163</v>
      </c>
      <c r="M4" s="125" t="s">
        <v>181</v>
      </c>
      <c r="O4" s="126" t="s">
        <v>160</v>
      </c>
      <c r="P4" s="126" t="s">
        <v>28</v>
      </c>
      <c r="Q4" s="126" t="s">
        <v>161</v>
      </c>
      <c r="R4" s="126" t="s">
        <v>162</v>
      </c>
      <c r="S4" s="126" t="s">
        <v>163</v>
      </c>
      <c r="T4" s="126" t="s">
        <v>181</v>
      </c>
    </row>
    <row r="5" spans="1:20" x14ac:dyDescent="0.25">
      <c r="A5" s="127">
        <v>1</v>
      </c>
      <c r="B5" s="23" t="s">
        <v>630</v>
      </c>
      <c r="C5" s="103" t="s">
        <v>631</v>
      </c>
      <c r="D5" s="104" t="s">
        <v>259</v>
      </c>
      <c r="E5" s="105" t="s">
        <v>657</v>
      </c>
      <c r="F5" s="128"/>
      <c r="H5" s="129">
        <v>1</v>
      </c>
      <c r="I5" s="130" t="s">
        <v>381</v>
      </c>
      <c r="J5" s="33" t="s">
        <v>44</v>
      </c>
      <c r="K5" s="130" t="s">
        <v>260</v>
      </c>
      <c r="L5" s="131" t="s">
        <v>382</v>
      </c>
      <c r="M5" s="132"/>
      <c r="O5" s="133">
        <v>1</v>
      </c>
      <c r="P5" s="130" t="s">
        <v>313</v>
      </c>
      <c r="Q5" s="33" t="s">
        <v>274</v>
      </c>
      <c r="R5" s="130" t="s">
        <v>260</v>
      </c>
      <c r="S5" s="98" t="s">
        <v>541</v>
      </c>
      <c r="T5" s="134"/>
    </row>
    <row r="6" spans="1:20" x14ac:dyDescent="0.25">
      <c r="A6" s="127">
        <v>2</v>
      </c>
      <c r="B6" s="23" t="s">
        <v>682</v>
      </c>
      <c r="C6" s="106" t="s">
        <v>632</v>
      </c>
      <c r="D6" s="107" t="s">
        <v>259</v>
      </c>
      <c r="E6" s="108" t="s">
        <v>658</v>
      </c>
      <c r="F6" s="128"/>
      <c r="H6" s="129">
        <v>2</v>
      </c>
      <c r="I6" s="130" t="s">
        <v>383</v>
      </c>
      <c r="J6" s="33" t="s">
        <v>48</v>
      </c>
      <c r="K6" s="130" t="s">
        <v>260</v>
      </c>
      <c r="L6" s="131" t="s">
        <v>384</v>
      </c>
      <c r="M6" s="132"/>
      <c r="O6" s="133">
        <v>2</v>
      </c>
      <c r="P6" s="130" t="s">
        <v>290</v>
      </c>
      <c r="Q6" s="33" t="s">
        <v>258</v>
      </c>
      <c r="R6" s="130" t="s">
        <v>259</v>
      </c>
      <c r="S6" s="135" t="s">
        <v>523</v>
      </c>
      <c r="T6" s="132"/>
    </row>
    <row r="7" spans="1:20" x14ac:dyDescent="0.25">
      <c r="A7" s="127">
        <v>3</v>
      </c>
      <c r="B7" s="23" t="s">
        <v>683</v>
      </c>
      <c r="C7" s="106" t="s">
        <v>633</v>
      </c>
      <c r="D7" s="109" t="s">
        <v>259</v>
      </c>
      <c r="E7" s="108" t="s">
        <v>659</v>
      </c>
      <c r="F7" s="128" t="s">
        <v>199</v>
      </c>
      <c r="H7" s="129">
        <v>3</v>
      </c>
      <c r="I7" s="130" t="s">
        <v>455</v>
      </c>
      <c r="J7" s="33" t="s">
        <v>46</v>
      </c>
      <c r="K7" s="130" t="s">
        <v>260</v>
      </c>
      <c r="L7" s="131" t="s">
        <v>456</v>
      </c>
      <c r="M7" s="132"/>
      <c r="O7" s="133">
        <v>3</v>
      </c>
      <c r="P7" s="130" t="s">
        <v>336</v>
      </c>
      <c r="Q7" s="33" t="s">
        <v>239</v>
      </c>
      <c r="R7" s="130" t="s">
        <v>259</v>
      </c>
      <c r="S7" s="100" t="s">
        <v>528</v>
      </c>
      <c r="T7" s="134" t="s">
        <v>199</v>
      </c>
    </row>
    <row r="8" spans="1:20" x14ac:dyDescent="0.25">
      <c r="A8" s="127">
        <v>4</v>
      </c>
      <c r="B8" s="23" t="s">
        <v>684</v>
      </c>
      <c r="C8" s="106" t="s">
        <v>634</v>
      </c>
      <c r="D8" s="109" t="s">
        <v>260</v>
      </c>
      <c r="E8" s="108" t="s">
        <v>660</v>
      </c>
      <c r="F8" s="128" t="s">
        <v>199</v>
      </c>
      <c r="H8" s="129">
        <v>4</v>
      </c>
      <c r="I8" s="130" t="s">
        <v>457</v>
      </c>
      <c r="J8" s="33" t="s">
        <v>198</v>
      </c>
      <c r="K8" s="130" t="s">
        <v>260</v>
      </c>
      <c r="L8" s="131" t="s">
        <v>458</v>
      </c>
      <c r="M8" s="132"/>
      <c r="O8" s="133">
        <v>4</v>
      </c>
      <c r="P8" s="130" t="s">
        <v>314</v>
      </c>
      <c r="Q8" s="33" t="s">
        <v>275</v>
      </c>
      <c r="R8" s="130" t="s">
        <v>259</v>
      </c>
      <c r="S8" s="98" t="s">
        <v>542</v>
      </c>
      <c r="T8" s="134"/>
    </row>
    <row r="9" spans="1:20" x14ac:dyDescent="0.25">
      <c r="A9" s="127">
        <v>5</v>
      </c>
      <c r="B9" s="23" t="s">
        <v>685</v>
      </c>
      <c r="C9" s="106" t="s">
        <v>635</v>
      </c>
      <c r="D9" s="107" t="s">
        <v>260</v>
      </c>
      <c r="E9" s="108" t="s">
        <v>661</v>
      </c>
      <c r="F9" s="128" t="s">
        <v>199</v>
      </c>
      <c r="H9" s="129">
        <v>5</v>
      </c>
      <c r="I9" s="130" t="s">
        <v>423</v>
      </c>
      <c r="J9" s="33" t="s">
        <v>58</v>
      </c>
      <c r="K9" s="130" t="s">
        <v>260</v>
      </c>
      <c r="L9" s="131" t="s">
        <v>440</v>
      </c>
      <c r="M9" s="132"/>
      <c r="O9" s="133">
        <v>5</v>
      </c>
      <c r="P9" s="130" t="s">
        <v>359</v>
      </c>
      <c r="Q9" s="33" t="s">
        <v>251</v>
      </c>
      <c r="R9" s="130" t="s">
        <v>260</v>
      </c>
      <c r="S9" s="136" t="s">
        <v>450</v>
      </c>
      <c r="T9" s="134" t="s">
        <v>199</v>
      </c>
    </row>
    <row r="10" spans="1:20" x14ac:dyDescent="0.25">
      <c r="A10" s="127">
        <v>6</v>
      </c>
      <c r="B10" s="23" t="s">
        <v>686</v>
      </c>
      <c r="C10" s="106" t="s">
        <v>636</v>
      </c>
      <c r="D10" s="107" t="s">
        <v>259</v>
      </c>
      <c r="E10" s="108" t="s">
        <v>662</v>
      </c>
      <c r="F10" s="128"/>
      <c r="H10" s="129">
        <v>6</v>
      </c>
      <c r="I10" s="130" t="s">
        <v>459</v>
      </c>
      <c r="J10" s="33" t="s">
        <v>52</v>
      </c>
      <c r="K10" s="130" t="s">
        <v>259</v>
      </c>
      <c r="L10" s="131" t="s">
        <v>460</v>
      </c>
      <c r="M10" s="132"/>
      <c r="O10" s="133">
        <v>6</v>
      </c>
      <c r="P10" s="130" t="s">
        <v>341</v>
      </c>
      <c r="Q10" s="33" t="s">
        <v>243</v>
      </c>
      <c r="R10" s="130" t="s">
        <v>260</v>
      </c>
      <c r="S10" s="100" t="s">
        <v>573</v>
      </c>
      <c r="T10" s="134"/>
    </row>
    <row r="11" spans="1:20" x14ac:dyDescent="0.25">
      <c r="A11" s="127">
        <v>7</v>
      </c>
      <c r="B11" s="23" t="s">
        <v>687</v>
      </c>
      <c r="C11" s="106" t="s">
        <v>637</v>
      </c>
      <c r="D11" s="107" t="s">
        <v>259</v>
      </c>
      <c r="E11" s="108" t="s">
        <v>663</v>
      </c>
      <c r="F11" s="128"/>
      <c r="H11" s="129">
        <v>7</v>
      </c>
      <c r="I11" s="130" t="s">
        <v>461</v>
      </c>
      <c r="J11" s="33" t="s">
        <v>55</v>
      </c>
      <c r="K11" s="130" t="s">
        <v>260</v>
      </c>
      <c r="L11" s="131" t="s">
        <v>462</v>
      </c>
      <c r="M11" s="132"/>
      <c r="O11" s="133">
        <v>7</v>
      </c>
      <c r="P11" s="130" t="s">
        <v>343</v>
      </c>
      <c r="Q11" s="33" t="s">
        <v>244</v>
      </c>
      <c r="R11" s="130" t="s">
        <v>260</v>
      </c>
      <c r="S11" s="100" t="s">
        <v>562</v>
      </c>
      <c r="T11" s="134" t="s">
        <v>199</v>
      </c>
    </row>
    <row r="12" spans="1:20" x14ac:dyDescent="0.25">
      <c r="A12" s="127">
        <v>8</v>
      </c>
      <c r="B12" s="23" t="s">
        <v>688</v>
      </c>
      <c r="C12" s="106" t="s">
        <v>638</v>
      </c>
      <c r="D12" s="107" t="s">
        <v>259</v>
      </c>
      <c r="E12" s="108" t="s">
        <v>664</v>
      </c>
      <c r="F12" s="128"/>
      <c r="H12" s="129">
        <v>8</v>
      </c>
      <c r="I12" s="130" t="s">
        <v>391</v>
      </c>
      <c r="J12" s="33" t="s">
        <v>61</v>
      </c>
      <c r="K12" s="130" t="s">
        <v>259</v>
      </c>
      <c r="L12" s="131" t="s">
        <v>392</v>
      </c>
      <c r="M12" s="132"/>
      <c r="O12" s="133">
        <v>8</v>
      </c>
      <c r="P12" s="130" t="s">
        <v>344</v>
      </c>
      <c r="Q12" s="33" t="s">
        <v>245</v>
      </c>
      <c r="R12" s="130" t="s">
        <v>259</v>
      </c>
      <c r="S12" s="100" t="s">
        <v>548</v>
      </c>
      <c r="T12" s="134"/>
    </row>
    <row r="13" spans="1:20" x14ac:dyDescent="0.25">
      <c r="A13" s="127">
        <v>9</v>
      </c>
      <c r="B13" s="23" t="s">
        <v>689</v>
      </c>
      <c r="C13" s="106" t="s">
        <v>639</v>
      </c>
      <c r="D13" s="107" t="s">
        <v>259</v>
      </c>
      <c r="E13" s="110" t="s">
        <v>665</v>
      </c>
      <c r="F13" s="128"/>
      <c r="H13" s="129">
        <v>9</v>
      </c>
      <c r="I13" s="130" t="s">
        <v>495</v>
      </c>
      <c r="J13" s="33" t="s">
        <v>64</v>
      </c>
      <c r="K13" s="130" t="s">
        <v>260</v>
      </c>
      <c r="L13" s="131" t="s">
        <v>496</v>
      </c>
      <c r="M13" s="132"/>
      <c r="O13" s="133">
        <v>9</v>
      </c>
      <c r="P13" s="130" t="s">
        <v>296</v>
      </c>
      <c r="Q13" s="33" t="s">
        <v>262</v>
      </c>
      <c r="R13" s="130" t="s">
        <v>260</v>
      </c>
      <c r="S13" s="135" t="s">
        <v>526</v>
      </c>
      <c r="T13" s="132" t="s">
        <v>199</v>
      </c>
    </row>
    <row r="14" spans="1:20" x14ac:dyDescent="0.25">
      <c r="A14" s="127">
        <v>10</v>
      </c>
      <c r="B14" s="23" t="s">
        <v>690</v>
      </c>
      <c r="C14" s="106" t="s">
        <v>640</v>
      </c>
      <c r="D14" s="107" t="s">
        <v>259</v>
      </c>
      <c r="E14" s="108" t="s">
        <v>666</v>
      </c>
      <c r="F14" s="128"/>
      <c r="H14" s="129">
        <v>10</v>
      </c>
      <c r="I14" s="130" t="s">
        <v>497</v>
      </c>
      <c r="J14" s="33" t="s">
        <v>68</v>
      </c>
      <c r="K14" s="130" t="s">
        <v>259</v>
      </c>
      <c r="L14" s="131" t="s">
        <v>498</v>
      </c>
      <c r="M14" s="132"/>
      <c r="O14" s="133">
        <v>10</v>
      </c>
      <c r="P14" s="130" t="s">
        <v>318</v>
      </c>
      <c r="Q14" s="33" t="s">
        <v>278</v>
      </c>
      <c r="R14" s="130" t="s">
        <v>260</v>
      </c>
      <c r="S14" s="98" t="s">
        <v>546</v>
      </c>
      <c r="T14" s="134" t="s">
        <v>199</v>
      </c>
    </row>
    <row r="15" spans="1:20" x14ac:dyDescent="0.25">
      <c r="A15" s="127">
        <v>11</v>
      </c>
      <c r="B15" s="23" t="s">
        <v>691</v>
      </c>
      <c r="C15" s="106" t="s">
        <v>641</v>
      </c>
      <c r="D15" s="107" t="s">
        <v>260</v>
      </c>
      <c r="E15" s="108" t="s">
        <v>667</v>
      </c>
      <c r="F15" s="128" t="s">
        <v>199</v>
      </c>
      <c r="H15" s="129">
        <v>11</v>
      </c>
      <c r="I15" s="130" t="s">
        <v>426</v>
      </c>
      <c r="J15" s="33" t="s">
        <v>70</v>
      </c>
      <c r="K15" s="130" t="s">
        <v>259</v>
      </c>
      <c r="L15" s="131" t="s">
        <v>443</v>
      </c>
      <c r="M15" s="132"/>
      <c r="O15" s="133">
        <v>11</v>
      </c>
      <c r="P15" s="130" t="s">
        <v>297</v>
      </c>
      <c r="Q15" s="33" t="s">
        <v>263</v>
      </c>
      <c r="R15" s="130" t="s">
        <v>260</v>
      </c>
      <c r="S15" s="135" t="s">
        <v>527</v>
      </c>
      <c r="T15" s="132" t="s">
        <v>199</v>
      </c>
    </row>
    <row r="16" spans="1:20" x14ac:dyDescent="0.25">
      <c r="A16" s="127">
        <v>12</v>
      </c>
      <c r="B16" s="23" t="s">
        <v>692</v>
      </c>
      <c r="C16" s="106" t="s">
        <v>642</v>
      </c>
      <c r="D16" s="109" t="s">
        <v>260</v>
      </c>
      <c r="E16" s="108" t="s">
        <v>668</v>
      </c>
      <c r="F16" s="128"/>
      <c r="H16" s="129">
        <v>12</v>
      </c>
      <c r="I16" s="130" t="s">
        <v>499</v>
      </c>
      <c r="J16" s="33" t="s">
        <v>72</v>
      </c>
      <c r="K16" s="130" t="s">
        <v>260</v>
      </c>
      <c r="L16" s="131" t="s">
        <v>500</v>
      </c>
      <c r="M16" s="132"/>
      <c r="O16" s="133">
        <v>12</v>
      </c>
      <c r="P16" s="130" t="s">
        <v>321</v>
      </c>
      <c r="Q16" s="33" t="s">
        <v>281</v>
      </c>
      <c r="R16" s="130" t="s">
        <v>260</v>
      </c>
      <c r="S16" s="99" t="s">
        <v>548</v>
      </c>
      <c r="T16" s="134" t="s">
        <v>199</v>
      </c>
    </row>
    <row r="17" spans="1:20" x14ac:dyDescent="0.25">
      <c r="A17" s="127">
        <v>13</v>
      </c>
      <c r="B17" s="23" t="s">
        <v>693</v>
      </c>
      <c r="C17" s="106" t="s">
        <v>643</v>
      </c>
      <c r="D17" s="109" t="s">
        <v>260</v>
      </c>
      <c r="E17" s="108" t="s">
        <v>669</v>
      </c>
      <c r="F17" s="128" t="s">
        <v>199</v>
      </c>
      <c r="H17" s="129">
        <v>13</v>
      </c>
      <c r="I17" s="130" t="s">
        <v>428</v>
      </c>
      <c r="J17" s="33" t="s">
        <v>78</v>
      </c>
      <c r="K17" s="130" t="s">
        <v>259</v>
      </c>
      <c r="L17" s="131" t="s">
        <v>445</v>
      </c>
      <c r="M17" s="132"/>
      <c r="O17" s="133">
        <v>13</v>
      </c>
      <c r="P17" s="130" t="s">
        <v>361</v>
      </c>
      <c r="Q17" s="33" t="s">
        <v>120</v>
      </c>
      <c r="R17" s="130" t="s">
        <v>260</v>
      </c>
      <c r="S17" s="136" t="s">
        <v>576</v>
      </c>
      <c r="T17" s="134"/>
    </row>
    <row r="18" spans="1:20" ht="30" x14ac:dyDescent="0.25">
      <c r="A18" s="127">
        <v>14</v>
      </c>
      <c r="B18" s="23" t="s">
        <v>694</v>
      </c>
      <c r="C18" s="106" t="s">
        <v>644</v>
      </c>
      <c r="D18" s="107" t="s">
        <v>260</v>
      </c>
      <c r="E18" s="108" t="s">
        <v>670</v>
      </c>
      <c r="F18" s="128"/>
      <c r="H18" s="129">
        <v>14</v>
      </c>
      <c r="I18" s="130" t="s">
        <v>417</v>
      </c>
      <c r="J18" s="33" t="s">
        <v>182</v>
      </c>
      <c r="K18" s="130" t="s">
        <v>260</v>
      </c>
      <c r="L18" s="131" t="s">
        <v>418</v>
      </c>
      <c r="M18" s="132"/>
      <c r="O18" s="133">
        <v>14</v>
      </c>
      <c r="P18" s="130" t="s">
        <v>299</v>
      </c>
      <c r="Q18" s="33" t="s">
        <v>131</v>
      </c>
      <c r="R18" s="130" t="s">
        <v>259</v>
      </c>
      <c r="S18" s="135" t="s">
        <v>529</v>
      </c>
      <c r="T18" s="132" t="s">
        <v>199</v>
      </c>
    </row>
    <row r="19" spans="1:20" ht="30" x14ac:dyDescent="0.25">
      <c r="A19" s="127">
        <v>15</v>
      </c>
      <c r="B19" s="23" t="s">
        <v>695</v>
      </c>
      <c r="C19" s="106" t="s">
        <v>645</v>
      </c>
      <c r="D19" s="109" t="s">
        <v>260</v>
      </c>
      <c r="E19" s="108" t="s">
        <v>671</v>
      </c>
      <c r="F19" s="128" t="s">
        <v>199</v>
      </c>
      <c r="H19" s="129">
        <v>15</v>
      </c>
      <c r="I19" s="130" t="s">
        <v>473</v>
      </c>
      <c r="J19" s="33" t="s">
        <v>79</v>
      </c>
      <c r="K19" s="130" t="s">
        <v>259</v>
      </c>
      <c r="L19" s="131" t="s">
        <v>474</v>
      </c>
      <c r="M19" s="132"/>
      <c r="O19" s="133">
        <v>15</v>
      </c>
      <c r="P19" s="130" t="s">
        <v>322</v>
      </c>
      <c r="Q19" s="33" t="s">
        <v>282</v>
      </c>
      <c r="R19" s="130" t="s">
        <v>259</v>
      </c>
      <c r="S19" s="98" t="s">
        <v>549</v>
      </c>
      <c r="T19" s="134"/>
    </row>
    <row r="20" spans="1:20" x14ac:dyDescent="0.25">
      <c r="A20" s="127">
        <v>16</v>
      </c>
      <c r="B20" s="23" t="s">
        <v>696</v>
      </c>
      <c r="C20" s="106" t="s">
        <v>646</v>
      </c>
      <c r="D20" s="109" t="s">
        <v>259</v>
      </c>
      <c r="E20" s="108" t="s">
        <v>672</v>
      </c>
      <c r="F20" s="128"/>
      <c r="H20" s="129">
        <v>16</v>
      </c>
      <c r="I20" s="130" t="s">
        <v>476</v>
      </c>
      <c r="J20" s="33" t="s">
        <v>86</v>
      </c>
      <c r="K20" s="130" t="s">
        <v>259</v>
      </c>
      <c r="L20" s="131" t="s">
        <v>477</v>
      </c>
      <c r="M20" s="132"/>
      <c r="O20" s="133">
        <v>16</v>
      </c>
      <c r="P20" s="130" t="s">
        <v>364</v>
      </c>
      <c r="Q20" s="33" t="s">
        <v>252</v>
      </c>
      <c r="R20" s="130" t="s">
        <v>259</v>
      </c>
      <c r="S20" s="136" t="s">
        <v>453</v>
      </c>
      <c r="T20" s="134" t="s">
        <v>199</v>
      </c>
    </row>
    <row r="21" spans="1:20" x14ac:dyDescent="0.25">
      <c r="A21" s="127">
        <v>17</v>
      </c>
      <c r="B21" s="23" t="s">
        <v>697</v>
      </c>
      <c r="C21" s="106" t="s">
        <v>647</v>
      </c>
      <c r="D21" s="109" t="s">
        <v>260</v>
      </c>
      <c r="E21" s="108" t="s">
        <v>673</v>
      </c>
      <c r="F21" s="128"/>
      <c r="H21" s="129">
        <v>17</v>
      </c>
      <c r="I21" s="130" t="s">
        <v>482</v>
      </c>
      <c r="J21" s="33" t="s">
        <v>102</v>
      </c>
      <c r="K21" s="130" t="s">
        <v>260</v>
      </c>
      <c r="L21" s="131" t="s">
        <v>483</v>
      </c>
      <c r="M21" s="132"/>
      <c r="O21" s="133">
        <v>17</v>
      </c>
      <c r="P21" s="130" t="s">
        <v>366</v>
      </c>
      <c r="Q21" s="33" t="s">
        <v>127</v>
      </c>
      <c r="R21" s="130" t="s">
        <v>259</v>
      </c>
      <c r="S21" s="136" t="s">
        <v>580</v>
      </c>
      <c r="T21" s="134" t="s">
        <v>199</v>
      </c>
    </row>
    <row r="22" spans="1:20" x14ac:dyDescent="0.25">
      <c r="A22" s="127">
        <v>18</v>
      </c>
      <c r="B22" s="23" t="s">
        <v>698</v>
      </c>
      <c r="C22" s="106" t="s">
        <v>648</v>
      </c>
      <c r="D22" s="109" t="s">
        <v>259</v>
      </c>
      <c r="E22" s="108" t="s">
        <v>674</v>
      </c>
      <c r="F22" s="128"/>
      <c r="H22" s="129">
        <v>18</v>
      </c>
      <c r="I22" s="130" t="s">
        <v>517</v>
      </c>
      <c r="J22" s="33" t="s">
        <v>111</v>
      </c>
      <c r="K22" s="130" t="s">
        <v>259</v>
      </c>
      <c r="L22" s="131" t="s">
        <v>518</v>
      </c>
      <c r="M22" s="132"/>
      <c r="O22" s="133">
        <v>18</v>
      </c>
      <c r="P22" s="130" t="s">
        <v>326</v>
      </c>
      <c r="Q22" s="33" t="s">
        <v>137</v>
      </c>
      <c r="R22" s="130" t="s">
        <v>260</v>
      </c>
      <c r="S22" s="98" t="s">
        <v>621</v>
      </c>
      <c r="T22" s="134"/>
    </row>
    <row r="23" spans="1:20" x14ac:dyDescent="0.25">
      <c r="A23" s="127">
        <v>19</v>
      </c>
      <c r="B23" s="23" t="s">
        <v>699</v>
      </c>
      <c r="C23" s="106" t="s">
        <v>649</v>
      </c>
      <c r="D23" s="109" t="s">
        <v>260</v>
      </c>
      <c r="E23" s="108" t="s">
        <v>466</v>
      </c>
      <c r="F23" s="128" t="s">
        <v>199</v>
      </c>
      <c r="H23" s="129">
        <v>19</v>
      </c>
      <c r="I23" s="130" t="s">
        <v>623</v>
      </c>
      <c r="J23" s="33" t="s">
        <v>113</v>
      </c>
      <c r="K23" s="130" t="s">
        <v>260</v>
      </c>
      <c r="L23" s="131" t="s">
        <v>440</v>
      </c>
      <c r="M23" s="132"/>
      <c r="O23" s="133">
        <v>19</v>
      </c>
      <c r="P23" s="130" t="s">
        <v>368</v>
      </c>
      <c r="Q23" s="33" t="s">
        <v>133</v>
      </c>
      <c r="R23" s="130" t="s">
        <v>259</v>
      </c>
      <c r="S23" s="136" t="s">
        <v>582</v>
      </c>
      <c r="T23" s="134"/>
    </row>
    <row r="24" spans="1:20" x14ac:dyDescent="0.25">
      <c r="A24" s="127">
        <v>20</v>
      </c>
      <c r="B24" s="23" t="s">
        <v>700</v>
      </c>
      <c r="C24" s="106" t="s">
        <v>650</v>
      </c>
      <c r="D24" s="109" t="s">
        <v>259</v>
      </c>
      <c r="E24" s="108" t="s">
        <v>675</v>
      </c>
      <c r="F24" s="128" t="s">
        <v>199</v>
      </c>
      <c r="H24" s="129">
        <v>20</v>
      </c>
      <c r="I24" s="130"/>
      <c r="J24" s="33"/>
      <c r="K24" s="130"/>
      <c r="L24" s="135"/>
      <c r="M24" s="132"/>
      <c r="O24" s="133">
        <v>20</v>
      </c>
      <c r="P24" s="130" t="s">
        <v>371</v>
      </c>
      <c r="Q24" s="33" t="s">
        <v>139</v>
      </c>
      <c r="R24" s="130" t="s">
        <v>259</v>
      </c>
      <c r="S24" s="136" t="s">
        <v>585</v>
      </c>
      <c r="T24" s="134"/>
    </row>
    <row r="25" spans="1:20" x14ac:dyDescent="0.25">
      <c r="A25" s="127">
        <v>21</v>
      </c>
      <c r="B25" s="23" t="s">
        <v>701</v>
      </c>
      <c r="C25" s="111" t="s">
        <v>651</v>
      </c>
      <c r="D25" s="112" t="s">
        <v>259</v>
      </c>
      <c r="E25" s="113" t="s">
        <v>676</v>
      </c>
      <c r="F25" s="128" t="s">
        <v>199</v>
      </c>
      <c r="H25" s="129">
        <v>21</v>
      </c>
      <c r="I25" s="130"/>
      <c r="J25" s="33"/>
      <c r="K25" s="130"/>
      <c r="L25" s="135"/>
      <c r="M25" s="132"/>
      <c r="O25" s="133">
        <v>21</v>
      </c>
      <c r="P25" s="130" t="s">
        <v>372</v>
      </c>
      <c r="Q25" s="33" t="s">
        <v>254</v>
      </c>
      <c r="R25" s="130" t="s">
        <v>260</v>
      </c>
      <c r="S25" s="136" t="s">
        <v>586</v>
      </c>
      <c r="T25" s="134"/>
    </row>
    <row r="26" spans="1:20" x14ac:dyDescent="0.25">
      <c r="A26" s="127">
        <v>22</v>
      </c>
      <c r="B26" s="23" t="s">
        <v>702</v>
      </c>
      <c r="C26" s="111" t="s">
        <v>652</v>
      </c>
      <c r="D26" s="114" t="s">
        <v>260</v>
      </c>
      <c r="E26" s="115" t="s">
        <v>677</v>
      </c>
      <c r="F26" s="128" t="s">
        <v>199</v>
      </c>
      <c r="H26" s="129">
        <v>22</v>
      </c>
      <c r="I26" s="130"/>
      <c r="J26" s="33"/>
      <c r="K26" s="130"/>
      <c r="L26" s="135"/>
      <c r="M26" s="132"/>
      <c r="O26" s="133">
        <v>22</v>
      </c>
      <c r="P26" s="130" t="s">
        <v>376</v>
      </c>
      <c r="Q26" s="33" t="s">
        <v>256</v>
      </c>
      <c r="R26" s="130" t="s">
        <v>259</v>
      </c>
      <c r="S26" s="136" t="s">
        <v>590</v>
      </c>
      <c r="T26" s="134"/>
    </row>
    <row r="27" spans="1:20" x14ac:dyDescent="0.25">
      <c r="A27" s="127">
        <v>23</v>
      </c>
      <c r="B27" s="23" t="s">
        <v>703</v>
      </c>
      <c r="C27" s="111" t="s">
        <v>653</v>
      </c>
      <c r="D27" s="112" t="s">
        <v>260</v>
      </c>
      <c r="E27" s="113" t="s">
        <v>678</v>
      </c>
      <c r="F27" s="128" t="s">
        <v>199</v>
      </c>
      <c r="H27" s="129">
        <v>23</v>
      </c>
      <c r="I27" s="130"/>
      <c r="J27" s="33"/>
      <c r="K27" s="130"/>
      <c r="L27" s="135"/>
      <c r="M27" s="132"/>
      <c r="O27" s="133">
        <v>23</v>
      </c>
      <c r="P27" s="130" t="s">
        <v>312</v>
      </c>
      <c r="Q27" s="33" t="s">
        <v>273</v>
      </c>
      <c r="R27" s="130" t="s">
        <v>260</v>
      </c>
      <c r="S27" s="135" t="s">
        <v>574</v>
      </c>
      <c r="T27" s="132"/>
    </row>
    <row r="28" spans="1:20" x14ac:dyDescent="0.25">
      <c r="A28" s="127">
        <v>24</v>
      </c>
      <c r="B28" s="23" t="s">
        <v>704</v>
      </c>
      <c r="C28" s="111" t="s">
        <v>654</v>
      </c>
      <c r="D28" s="114" t="s">
        <v>260</v>
      </c>
      <c r="E28" s="115" t="s">
        <v>679</v>
      </c>
      <c r="F28" s="128" t="s">
        <v>199</v>
      </c>
      <c r="H28" s="129">
        <v>24</v>
      </c>
      <c r="I28" s="130"/>
      <c r="J28" s="33"/>
      <c r="K28" s="130"/>
      <c r="L28" s="130"/>
      <c r="M28" s="132"/>
      <c r="O28" s="133">
        <v>24</v>
      </c>
      <c r="P28" s="33"/>
      <c r="Q28" s="33"/>
      <c r="R28" s="130"/>
      <c r="S28" s="130"/>
      <c r="T28" s="137"/>
    </row>
    <row r="29" spans="1:20" x14ac:dyDescent="0.25">
      <c r="A29" s="127">
        <v>25</v>
      </c>
      <c r="B29" s="23" t="s">
        <v>705</v>
      </c>
      <c r="C29" s="111" t="s">
        <v>655</v>
      </c>
      <c r="D29" s="114" t="s">
        <v>259</v>
      </c>
      <c r="E29" s="115" t="s">
        <v>680</v>
      </c>
      <c r="F29" s="128"/>
    </row>
    <row r="30" spans="1:20" x14ac:dyDescent="0.25">
      <c r="A30" s="127">
        <v>26</v>
      </c>
      <c r="B30" s="23" t="s">
        <v>706</v>
      </c>
      <c r="C30" s="111" t="s">
        <v>656</v>
      </c>
      <c r="D30" s="114" t="s">
        <v>259</v>
      </c>
      <c r="E30" s="115" t="s">
        <v>681</v>
      </c>
      <c r="F30" s="128"/>
    </row>
    <row r="31" spans="1:20" x14ac:dyDescent="0.25">
      <c r="A31" s="142"/>
      <c r="B31" s="149"/>
      <c r="C31" s="150"/>
      <c r="D31" s="151"/>
      <c r="E31" s="152"/>
      <c r="F31" s="153"/>
    </row>
    <row r="32" spans="1:20" x14ac:dyDescent="0.25">
      <c r="A32" s="142"/>
      <c r="B32" s="149"/>
      <c r="C32" s="150"/>
      <c r="D32" s="151"/>
      <c r="E32" s="152"/>
      <c r="F32" s="153"/>
    </row>
    <row r="33" spans="1:20" x14ac:dyDescent="0.25">
      <c r="A33" s="7" t="s">
        <v>164</v>
      </c>
      <c r="B33" s="138">
        <v>7.2</v>
      </c>
      <c r="C33" s="139"/>
      <c r="D33" s="140"/>
      <c r="E33" s="140"/>
      <c r="F33" s="140"/>
      <c r="H33" s="7" t="s">
        <v>164</v>
      </c>
      <c r="I33" s="123">
        <v>8.1999999999999993</v>
      </c>
      <c r="O33" s="7" t="s">
        <v>164</v>
      </c>
      <c r="P33" s="123">
        <v>9.1999999999999993</v>
      </c>
    </row>
    <row r="34" spans="1:20" x14ac:dyDescent="0.25">
      <c r="A34" s="124" t="s">
        <v>160</v>
      </c>
      <c r="B34" s="124" t="s">
        <v>28</v>
      </c>
      <c r="C34" s="124" t="s">
        <v>161</v>
      </c>
      <c r="D34" s="124" t="s">
        <v>162</v>
      </c>
      <c r="E34" s="124" t="s">
        <v>163</v>
      </c>
      <c r="F34" s="124" t="s">
        <v>181</v>
      </c>
      <c r="H34" s="125" t="s">
        <v>160</v>
      </c>
      <c r="I34" s="125" t="s">
        <v>28</v>
      </c>
      <c r="J34" s="125" t="s">
        <v>161</v>
      </c>
      <c r="K34" s="125" t="s">
        <v>162</v>
      </c>
      <c r="L34" s="125" t="s">
        <v>163</v>
      </c>
      <c r="M34" s="125" t="s">
        <v>181</v>
      </c>
      <c r="O34" s="126" t="s">
        <v>160</v>
      </c>
      <c r="P34" s="126" t="s">
        <v>28</v>
      </c>
      <c r="Q34" s="126" t="s">
        <v>161</v>
      </c>
      <c r="R34" s="126" t="s">
        <v>162</v>
      </c>
      <c r="S34" s="126" t="s">
        <v>163</v>
      </c>
      <c r="T34" s="126" t="s">
        <v>181</v>
      </c>
    </row>
    <row r="35" spans="1:20" ht="30" x14ac:dyDescent="0.25">
      <c r="A35" s="127">
        <v>1</v>
      </c>
      <c r="B35" s="23" t="s">
        <v>916</v>
      </c>
      <c r="C35" s="103" t="s">
        <v>707</v>
      </c>
      <c r="D35" s="104" t="s">
        <v>259</v>
      </c>
      <c r="E35" s="105" t="s">
        <v>731</v>
      </c>
      <c r="F35" s="128" t="s">
        <v>199</v>
      </c>
      <c r="H35" s="129">
        <v>1</v>
      </c>
      <c r="I35" s="130" t="s">
        <v>385</v>
      </c>
      <c r="J35" s="33" t="s">
        <v>51</v>
      </c>
      <c r="K35" s="130" t="s">
        <v>259</v>
      </c>
      <c r="L35" s="131" t="s">
        <v>386</v>
      </c>
      <c r="M35" s="134"/>
      <c r="O35" s="133">
        <v>1</v>
      </c>
      <c r="P35" s="130" t="s">
        <v>291</v>
      </c>
      <c r="Q35" s="33" t="s">
        <v>116</v>
      </c>
      <c r="R35" s="130" t="s">
        <v>260</v>
      </c>
      <c r="S35" s="135" t="s">
        <v>522</v>
      </c>
      <c r="T35" s="132" t="s">
        <v>199</v>
      </c>
    </row>
    <row r="36" spans="1:20" x14ac:dyDescent="0.25">
      <c r="A36" s="127">
        <v>2</v>
      </c>
      <c r="B36" s="23" t="s">
        <v>753</v>
      </c>
      <c r="C36" s="106" t="s">
        <v>708</v>
      </c>
      <c r="D36" s="107" t="s">
        <v>260</v>
      </c>
      <c r="E36" s="108" t="s">
        <v>732</v>
      </c>
      <c r="F36" s="128" t="s">
        <v>199</v>
      </c>
      <c r="H36" s="129">
        <v>2</v>
      </c>
      <c r="I36" s="130" t="s">
        <v>420</v>
      </c>
      <c r="J36" s="33" t="s">
        <v>49</v>
      </c>
      <c r="K36" s="130" t="s">
        <v>260</v>
      </c>
      <c r="L36" s="131" t="s">
        <v>404</v>
      </c>
      <c r="M36" s="134"/>
      <c r="O36" s="133">
        <v>2</v>
      </c>
      <c r="P36" s="130" t="s">
        <v>294</v>
      </c>
      <c r="Q36" s="33" t="s">
        <v>121</v>
      </c>
      <c r="R36" s="130" t="s">
        <v>259</v>
      </c>
      <c r="S36" s="141" t="s">
        <v>525</v>
      </c>
      <c r="T36" s="132" t="s">
        <v>199</v>
      </c>
    </row>
    <row r="37" spans="1:20" x14ac:dyDescent="0.25">
      <c r="A37" s="127">
        <v>3</v>
      </c>
      <c r="B37" s="23" t="s">
        <v>754</v>
      </c>
      <c r="C37" s="106" t="s">
        <v>709</v>
      </c>
      <c r="D37" s="109" t="s">
        <v>259</v>
      </c>
      <c r="E37" s="108" t="s">
        <v>733</v>
      </c>
      <c r="F37" s="128"/>
      <c r="H37" s="129">
        <v>3</v>
      </c>
      <c r="I37" s="130" t="s">
        <v>490</v>
      </c>
      <c r="J37" s="33" t="s">
        <v>53</v>
      </c>
      <c r="K37" s="130" t="s">
        <v>259</v>
      </c>
      <c r="L37" s="136" t="s">
        <v>624</v>
      </c>
      <c r="M37" s="134"/>
      <c r="O37" s="133">
        <v>3</v>
      </c>
      <c r="P37" s="130" t="s">
        <v>360</v>
      </c>
      <c r="Q37" s="33" t="s">
        <v>119</v>
      </c>
      <c r="R37" s="130" t="s">
        <v>259</v>
      </c>
      <c r="S37" s="136" t="s">
        <v>558</v>
      </c>
      <c r="T37" s="134"/>
    </row>
    <row r="38" spans="1:20" x14ac:dyDescent="0.25">
      <c r="A38" s="127">
        <v>4</v>
      </c>
      <c r="B38" s="23" t="s">
        <v>755</v>
      </c>
      <c r="C38" s="106" t="s">
        <v>710</v>
      </c>
      <c r="D38" s="109" t="s">
        <v>259</v>
      </c>
      <c r="E38" s="108" t="s">
        <v>734</v>
      </c>
      <c r="F38" s="128"/>
      <c r="H38" s="129">
        <v>4</v>
      </c>
      <c r="I38" s="130" t="s">
        <v>393</v>
      </c>
      <c r="J38" s="33" t="s">
        <v>65</v>
      </c>
      <c r="K38" s="130" t="s">
        <v>260</v>
      </c>
      <c r="L38" s="131" t="s">
        <v>394</v>
      </c>
      <c r="M38" s="134"/>
      <c r="O38" s="133">
        <v>4</v>
      </c>
      <c r="P38" s="130" t="s">
        <v>298</v>
      </c>
      <c r="Q38" s="33" t="s">
        <v>264</v>
      </c>
      <c r="R38" s="130" t="s">
        <v>260</v>
      </c>
      <c r="S38" s="135" t="s">
        <v>528</v>
      </c>
      <c r="T38" s="132"/>
    </row>
    <row r="39" spans="1:20" ht="30" x14ac:dyDescent="0.25">
      <c r="A39" s="127">
        <v>5</v>
      </c>
      <c r="B39" s="23" t="s">
        <v>756</v>
      </c>
      <c r="C39" s="106" t="s">
        <v>711</v>
      </c>
      <c r="D39" s="107" t="s">
        <v>260</v>
      </c>
      <c r="E39" s="108" t="s">
        <v>735</v>
      </c>
      <c r="F39" s="128"/>
      <c r="H39" s="129">
        <v>5</v>
      </c>
      <c r="I39" s="130" t="s">
        <v>395</v>
      </c>
      <c r="J39" s="33" t="s">
        <v>69</v>
      </c>
      <c r="K39" s="130" t="s">
        <v>259</v>
      </c>
      <c r="L39" s="131" t="s">
        <v>396</v>
      </c>
      <c r="M39" s="134"/>
      <c r="O39" s="133">
        <v>5</v>
      </c>
      <c r="P39" s="130" t="s">
        <v>320</v>
      </c>
      <c r="Q39" s="33" t="s">
        <v>280</v>
      </c>
      <c r="R39" s="130" t="s">
        <v>259</v>
      </c>
      <c r="S39" s="99" t="s">
        <v>547</v>
      </c>
      <c r="T39" s="134" t="s">
        <v>199</v>
      </c>
    </row>
    <row r="40" spans="1:20" x14ac:dyDescent="0.25">
      <c r="A40" s="127">
        <v>6</v>
      </c>
      <c r="B40" s="23" t="s">
        <v>757</v>
      </c>
      <c r="C40" s="116" t="s">
        <v>712</v>
      </c>
      <c r="D40" s="107" t="s">
        <v>259</v>
      </c>
      <c r="E40" s="108" t="s">
        <v>736</v>
      </c>
      <c r="F40" s="128" t="s">
        <v>199</v>
      </c>
      <c r="H40" s="129">
        <v>6</v>
      </c>
      <c r="I40" s="130" t="s">
        <v>397</v>
      </c>
      <c r="J40" s="33" t="s">
        <v>73</v>
      </c>
      <c r="K40" s="130" t="s">
        <v>259</v>
      </c>
      <c r="L40" s="131" t="s">
        <v>398</v>
      </c>
      <c r="M40" s="134"/>
      <c r="O40" s="133">
        <v>6</v>
      </c>
      <c r="P40" s="130" t="s">
        <v>301</v>
      </c>
      <c r="Q40" s="33" t="s">
        <v>265</v>
      </c>
      <c r="R40" s="130" t="s">
        <v>260</v>
      </c>
      <c r="S40" s="135" t="s">
        <v>531</v>
      </c>
      <c r="T40" s="132" t="s">
        <v>199</v>
      </c>
    </row>
    <row r="41" spans="1:20" ht="30" x14ac:dyDescent="0.25">
      <c r="A41" s="127">
        <v>7</v>
      </c>
      <c r="B41" s="23" t="s">
        <v>758</v>
      </c>
      <c r="C41" s="116" t="s">
        <v>713</v>
      </c>
      <c r="D41" s="107" t="s">
        <v>260</v>
      </c>
      <c r="E41" s="108" t="s">
        <v>737</v>
      </c>
      <c r="F41" s="128" t="s">
        <v>199</v>
      </c>
      <c r="H41" s="129">
        <v>7</v>
      </c>
      <c r="I41" s="130" t="s">
        <v>399</v>
      </c>
      <c r="J41" s="33" t="s">
        <v>77</v>
      </c>
      <c r="K41" s="130" t="s">
        <v>260</v>
      </c>
      <c r="L41" s="131" t="s">
        <v>400</v>
      </c>
      <c r="M41" s="134"/>
      <c r="O41" s="133">
        <v>7</v>
      </c>
      <c r="P41" s="130" t="s">
        <v>367</v>
      </c>
      <c r="Q41" s="33" t="s">
        <v>130</v>
      </c>
      <c r="R41" s="130" t="s">
        <v>259</v>
      </c>
      <c r="S41" s="136" t="s">
        <v>581</v>
      </c>
      <c r="T41" s="134"/>
    </row>
    <row r="42" spans="1:20" x14ac:dyDescent="0.25">
      <c r="A42" s="127">
        <v>8</v>
      </c>
      <c r="B42" s="23" t="s">
        <v>759</v>
      </c>
      <c r="C42" s="116" t="s">
        <v>714</v>
      </c>
      <c r="D42" s="107" t="s">
        <v>260</v>
      </c>
      <c r="E42" s="108" t="s">
        <v>738</v>
      </c>
      <c r="F42" s="128"/>
      <c r="H42" s="129">
        <v>8</v>
      </c>
      <c r="I42" s="130" t="s">
        <v>427</v>
      </c>
      <c r="J42" s="33" t="s">
        <v>74</v>
      </c>
      <c r="K42" s="130" t="s">
        <v>260</v>
      </c>
      <c r="L42" s="131" t="s">
        <v>444</v>
      </c>
      <c r="M42" s="134"/>
      <c r="O42" s="133">
        <v>8</v>
      </c>
      <c r="P42" s="130" t="s">
        <v>369</v>
      </c>
      <c r="Q42" s="33" t="s">
        <v>135</v>
      </c>
      <c r="R42" s="130" t="s">
        <v>260</v>
      </c>
      <c r="S42" s="136" t="s">
        <v>583</v>
      </c>
      <c r="T42" s="134" t="s">
        <v>199</v>
      </c>
    </row>
    <row r="43" spans="1:20" x14ac:dyDescent="0.25">
      <c r="A43" s="127">
        <v>9</v>
      </c>
      <c r="B43" s="23" t="s">
        <v>760</v>
      </c>
      <c r="C43" s="106" t="s">
        <v>715</v>
      </c>
      <c r="D43" s="107" t="s">
        <v>259</v>
      </c>
      <c r="E43" s="110" t="s">
        <v>739</v>
      </c>
      <c r="F43" s="128" t="s">
        <v>199</v>
      </c>
      <c r="H43" s="129">
        <v>9</v>
      </c>
      <c r="I43" s="130" t="s">
        <v>475</v>
      </c>
      <c r="J43" s="33" t="s">
        <v>82</v>
      </c>
      <c r="K43" s="130" t="s">
        <v>260</v>
      </c>
      <c r="L43" s="131" t="s">
        <v>456</v>
      </c>
      <c r="M43" s="134"/>
      <c r="O43" s="133">
        <v>9</v>
      </c>
      <c r="P43" s="130" t="s">
        <v>373</v>
      </c>
      <c r="Q43" s="33" t="s">
        <v>141</v>
      </c>
      <c r="R43" s="130" t="s">
        <v>260</v>
      </c>
      <c r="S43" s="136" t="s">
        <v>587</v>
      </c>
      <c r="T43" s="134" t="s">
        <v>199</v>
      </c>
    </row>
    <row r="44" spans="1:20" x14ac:dyDescent="0.25">
      <c r="A44" s="127">
        <v>10</v>
      </c>
      <c r="B44" s="23" t="s">
        <v>761</v>
      </c>
      <c r="C44" s="106" t="s">
        <v>716</v>
      </c>
      <c r="D44" s="107" t="s">
        <v>259</v>
      </c>
      <c r="E44" s="108" t="s">
        <v>740</v>
      </c>
      <c r="F44" s="128"/>
      <c r="H44" s="129">
        <v>10</v>
      </c>
      <c r="I44" s="130" t="s">
        <v>479</v>
      </c>
      <c r="J44" s="33" t="s">
        <v>94</v>
      </c>
      <c r="K44" s="130" t="s">
        <v>260</v>
      </c>
      <c r="L44" s="131" t="s">
        <v>396</v>
      </c>
      <c r="M44" s="134"/>
      <c r="O44" s="133">
        <v>10</v>
      </c>
      <c r="P44" s="130" t="s">
        <v>304</v>
      </c>
      <c r="Q44" s="33" t="s">
        <v>266</v>
      </c>
      <c r="R44" s="130" t="s">
        <v>259</v>
      </c>
      <c r="S44" s="135" t="s">
        <v>533</v>
      </c>
      <c r="T44" s="132"/>
    </row>
    <row r="45" spans="1:20" x14ac:dyDescent="0.25">
      <c r="A45" s="127">
        <v>11</v>
      </c>
      <c r="B45" s="23" t="s">
        <v>762</v>
      </c>
      <c r="C45" s="106" t="s">
        <v>717</v>
      </c>
      <c r="D45" s="107" t="s">
        <v>259</v>
      </c>
      <c r="E45" s="108" t="s">
        <v>741</v>
      </c>
      <c r="F45" s="128"/>
      <c r="H45" s="129">
        <v>11</v>
      </c>
      <c r="I45" s="130" t="s">
        <v>407</v>
      </c>
      <c r="J45" s="33" t="s">
        <v>92</v>
      </c>
      <c r="K45" s="130" t="s">
        <v>259</v>
      </c>
      <c r="L45" s="131" t="s">
        <v>408</v>
      </c>
      <c r="M45" s="134"/>
      <c r="O45" s="133">
        <v>11</v>
      </c>
      <c r="P45" s="130" t="s">
        <v>331</v>
      </c>
      <c r="Q45" s="33" t="s">
        <v>287</v>
      </c>
      <c r="R45" s="130" t="s">
        <v>259</v>
      </c>
      <c r="S45" s="98" t="s">
        <v>620</v>
      </c>
      <c r="T45" s="134"/>
    </row>
    <row r="46" spans="1:20" ht="30" x14ac:dyDescent="0.25">
      <c r="A46" s="127">
        <v>12</v>
      </c>
      <c r="B46" s="23" t="s">
        <v>763</v>
      </c>
      <c r="C46" s="106" t="s">
        <v>718</v>
      </c>
      <c r="D46" s="109" t="s">
        <v>260</v>
      </c>
      <c r="E46" s="108" t="s">
        <v>742</v>
      </c>
      <c r="F46" s="128"/>
      <c r="H46" s="129">
        <v>12</v>
      </c>
      <c r="I46" s="130" t="s">
        <v>480</v>
      </c>
      <c r="J46" s="33" t="s">
        <v>98</v>
      </c>
      <c r="K46" s="130" t="s">
        <v>260</v>
      </c>
      <c r="L46" s="131" t="s">
        <v>481</v>
      </c>
      <c r="M46" s="134"/>
      <c r="O46" s="133">
        <v>12</v>
      </c>
      <c r="P46" s="130" t="s">
        <v>374</v>
      </c>
      <c r="Q46" s="33" t="s">
        <v>144</v>
      </c>
      <c r="R46" s="130" t="s">
        <v>260</v>
      </c>
      <c r="S46" s="136" t="s">
        <v>588</v>
      </c>
      <c r="T46" s="134"/>
    </row>
    <row r="47" spans="1:20" x14ac:dyDescent="0.25">
      <c r="A47" s="127">
        <v>13</v>
      </c>
      <c r="B47" s="23" t="s">
        <v>764</v>
      </c>
      <c r="C47" s="106" t="s">
        <v>719</v>
      </c>
      <c r="D47" s="109" t="s">
        <v>260</v>
      </c>
      <c r="E47" s="108" t="s">
        <v>677</v>
      </c>
      <c r="F47" s="128" t="s">
        <v>199</v>
      </c>
      <c r="H47" s="129">
        <v>13</v>
      </c>
      <c r="I47" s="130" t="s">
        <v>509</v>
      </c>
      <c r="J47" s="33" t="s">
        <v>91</v>
      </c>
      <c r="K47" s="130" t="s">
        <v>259</v>
      </c>
      <c r="L47" s="136" t="s">
        <v>414</v>
      </c>
      <c r="M47" s="134"/>
      <c r="O47" s="133">
        <v>13</v>
      </c>
      <c r="P47" s="130" t="s">
        <v>351</v>
      </c>
      <c r="Q47" s="33" t="s">
        <v>246</v>
      </c>
      <c r="R47" s="130" t="s">
        <v>260</v>
      </c>
      <c r="S47" s="100" t="s">
        <v>567</v>
      </c>
      <c r="T47" s="134" t="s">
        <v>199</v>
      </c>
    </row>
    <row r="48" spans="1:20" x14ac:dyDescent="0.25">
      <c r="A48" s="127">
        <v>14</v>
      </c>
      <c r="B48" s="23" t="s">
        <v>765</v>
      </c>
      <c r="C48" s="106" t="s">
        <v>720</v>
      </c>
      <c r="D48" s="107" t="s">
        <v>259</v>
      </c>
      <c r="E48" s="108" t="s">
        <v>743</v>
      </c>
      <c r="F48" s="128" t="s">
        <v>199</v>
      </c>
      <c r="H48" s="129">
        <v>14</v>
      </c>
      <c r="I48" s="130" t="s">
        <v>512</v>
      </c>
      <c r="J48" s="33" t="s">
        <v>99</v>
      </c>
      <c r="K48" s="130" t="s">
        <v>260</v>
      </c>
      <c r="L48" s="131" t="s">
        <v>502</v>
      </c>
      <c r="M48" s="134"/>
      <c r="O48" s="133">
        <v>14</v>
      </c>
      <c r="P48" s="130" t="s">
        <v>306</v>
      </c>
      <c r="Q48" s="33" t="s">
        <v>268</v>
      </c>
      <c r="R48" s="130" t="s">
        <v>260</v>
      </c>
      <c r="S48" s="135" t="s">
        <v>535</v>
      </c>
      <c r="T48" s="132" t="s">
        <v>199</v>
      </c>
    </row>
    <row r="49" spans="1:20" x14ac:dyDescent="0.25">
      <c r="A49" s="127">
        <v>15</v>
      </c>
      <c r="B49" s="23" t="s">
        <v>766</v>
      </c>
      <c r="C49" s="106" t="s">
        <v>721</v>
      </c>
      <c r="D49" s="109" t="s">
        <v>259</v>
      </c>
      <c r="E49" s="108" t="s">
        <v>744</v>
      </c>
      <c r="F49" s="128"/>
      <c r="H49" s="129">
        <v>15</v>
      </c>
      <c r="I49" s="130" t="s">
        <v>435</v>
      </c>
      <c r="J49" s="33" t="s">
        <v>105</v>
      </c>
      <c r="K49" s="130" t="s">
        <v>260</v>
      </c>
      <c r="L49" s="131" t="s">
        <v>452</v>
      </c>
      <c r="M49" s="134"/>
      <c r="O49" s="133">
        <v>15</v>
      </c>
      <c r="P49" s="130" t="s">
        <v>354</v>
      </c>
      <c r="Q49" s="33" t="s">
        <v>248</v>
      </c>
      <c r="R49" s="130" t="s">
        <v>259</v>
      </c>
      <c r="S49" s="100" t="s">
        <v>569</v>
      </c>
      <c r="T49" s="134"/>
    </row>
    <row r="50" spans="1:20" x14ac:dyDescent="0.25">
      <c r="A50" s="127">
        <v>16</v>
      </c>
      <c r="B50" s="23" t="s">
        <v>767</v>
      </c>
      <c r="C50" s="106" t="s">
        <v>722</v>
      </c>
      <c r="D50" s="109" t="s">
        <v>260</v>
      </c>
      <c r="E50" s="108" t="s">
        <v>745</v>
      </c>
      <c r="F50" s="128"/>
      <c r="H50" s="129">
        <v>16</v>
      </c>
      <c r="I50" s="130" t="s">
        <v>515</v>
      </c>
      <c r="J50" s="33" t="s">
        <v>107</v>
      </c>
      <c r="K50" s="130" t="s">
        <v>260</v>
      </c>
      <c r="L50" s="131" t="s">
        <v>516</v>
      </c>
      <c r="M50" s="134"/>
      <c r="O50" s="133">
        <v>16</v>
      </c>
      <c r="P50" s="130" t="s">
        <v>378</v>
      </c>
      <c r="Q50" s="33" t="s">
        <v>150</v>
      </c>
      <c r="R50" s="130" t="s">
        <v>259</v>
      </c>
      <c r="S50" s="136" t="s">
        <v>562</v>
      </c>
      <c r="T50" s="134" t="s">
        <v>199</v>
      </c>
    </row>
    <row r="51" spans="1:20" x14ac:dyDescent="0.25">
      <c r="A51" s="127">
        <v>17</v>
      </c>
      <c r="B51" s="23" t="s">
        <v>768</v>
      </c>
      <c r="C51" s="106" t="s">
        <v>723</v>
      </c>
      <c r="D51" s="109" t="s">
        <v>260</v>
      </c>
      <c r="E51" s="108" t="s">
        <v>746</v>
      </c>
      <c r="F51" s="128"/>
      <c r="H51" s="129">
        <v>17</v>
      </c>
      <c r="I51" s="130" t="s">
        <v>437</v>
      </c>
      <c r="J51" s="33" t="s">
        <v>112</v>
      </c>
      <c r="K51" s="130" t="s">
        <v>260</v>
      </c>
      <c r="L51" s="131" t="s">
        <v>454</v>
      </c>
      <c r="M51" s="134"/>
      <c r="O51" s="133">
        <v>17</v>
      </c>
      <c r="P51" s="130" t="s">
        <v>379</v>
      </c>
      <c r="Q51" s="33" t="s">
        <v>257</v>
      </c>
      <c r="R51" s="130" t="s">
        <v>259</v>
      </c>
      <c r="S51" s="136" t="s">
        <v>591</v>
      </c>
      <c r="T51" s="134" t="s">
        <v>199</v>
      </c>
    </row>
    <row r="52" spans="1:20" x14ac:dyDescent="0.25">
      <c r="A52" s="127">
        <v>18</v>
      </c>
      <c r="B52" s="23" t="s">
        <v>769</v>
      </c>
      <c r="C52" s="116" t="s">
        <v>724</v>
      </c>
      <c r="D52" s="109" t="s">
        <v>259</v>
      </c>
      <c r="E52" s="108" t="s">
        <v>747</v>
      </c>
      <c r="F52" s="128"/>
      <c r="H52" s="129">
        <v>18</v>
      </c>
      <c r="I52" s="130" t="s">
        <v>415</v>
      </c>
      <c r="J52" s="33" t="s">
        <v>108</v>
      </c>
      <c r="K52" s="130" t="s">
        <v>259</v>
      </c>
      <c r="L52" s="131" t="s">
        <v>416</v>
      </c>
      <c r="M52" s="134"/>
      <c r="O52" s="133">
        <v>18</v>
      </c>
      <c r="P52" s="130" t="s">
        <v>334</v>
      </c>
      <c r="Q52" s="33" t="s">
        <v>288</v>
      </c>
      <c r="R52" s="130" t="s">
        <v>260</v>
      </c>
      <c r="S52" s="98" t="s">
        <v>557</v>
      </c>
      <c r="T52" s="134" t="s">
        <v>199</v>
      </c>
    </row>
    <row r="53" spans="1:20" x14ac:dyDescent="0.25">
      <c r="A53" s="127">
        <v>19</v>
      </c>
      <c r="B53" s="23" t="s">
        <v>770</v>
      </c>
      <c r="C53" s="106" t="s">
        <v>725</v>
      </c>
      <c r="D53" s="109" t="s">
        <v>259</v>
      </c>
      <c r="E53" s="108" t="s">
        <v>748</v>
      </c>
      <c r="F53" s="128" t="s">
        <v>199</v>
      </c>
      <c r="H53" s="129">
        <v>19</v>
      </c>
      <c r="I53" s="130" t="s">
        <v>486</v>
      </c>
      <c r="J53" s="33" t="s">
        <v>110</v>
      </c>
      <c r="K53" s="130" t="s">
        <v>259</v>
      </c>
      <c r="L53" s="136" t="s">
        <v>477</v>
      </c>
      <c r="M53" s="134"/>
      <c r="O53" s="133">
        <v>19</v>
      </c>
      <c r="P53" s="130" t="s">
        <v>309</v>
      </c>
      <c r="Q53" s="33" t="s">
        <v>271</v>
      </c>
      <c r="R53" s="130" t="s">
        <v>259</v>
      </c>
      <c r="S53" s="135" t="s">
        <v>538</v>
      </c>
      <c r="T53" s="132" t="s">
        <v>199</v>
      </c>
    </row>
    <row r="54" spans="1:20" x14ac:dyDescent="0.25">
      <c r="A54" s="127">
        <v>20</v>
      </c>
      <c r="B54" s="23" t="s">
        <v>771</v>
      </c>
      <c r="C54" s="106" t="s">
        <v>726</v>
      </c>
      <c r="D54" s="109" t="s">
        <v>259</v>
      </c>
      <c r="E54" s="108" t="s">
        <v>657</v>
      </c>
      <c r="F54" s="128" t="s">
        <v>199</v>
      </c>
      <c r="H54" s="129">
        <v>20</v>
      </c>
      <c r="I54" s="130"/>
      <c r="J54" s="33"/>
      <c r="K54" s="130"/>
      <c r="L54" s="98"/>
      <c r="M54" s="134"/>
      <c r="O54" s="133">
        <v>20</v>
      </c>
      <c r="P54" s="130" t="s">
        <v>335</v>
      </c>
      <c r="Q54" s="33" t="s">
        <v>289</v>
      </c>
      <c r="R54" s="130" t="s">
        <v>259</v>
      </c>
      <c r="S54" s="98" t="s">
        <v>556</v>
      </c>
      <c r="T54" s="134"/>
    </row>
    <row r="55" spans="1:20" x14ac:dyDescent="0.25">
      <c r="A55" s="127">
        <v>21</v>
      </c>
      <c r="B55" s="23" t="s">
        <v>772</v>
      </c>
      <c r="C55" s="111" t="s">
        <v>727</v>
      </c>
      <c r="D55" s="114" t="s">
        <v>259</v>
      </c>
      <c r="E55" s="115" t="s">
        <v>749</v>
      </c>
      <c r="F55" s="128" t="s">
        <v>199</v>
      </c>
      <c r="H55" s="129">
        <v>21</v>
      </c>
      <c r="I55" s="130"/>
      <c r="J55" s="33"/>
      <c r="K55" s="130"/>
      <c r="L55" s="98"/>
      <c r="M55" s="134"/>
      <c r="O55" s="133">
        <v>21</v>
      </c>
      <c r="P55" s="130" t="s">
        <v>356</v>
      </c>
      <c r="Q55" s="33" t="s">
        <v>249</v>
      </c>
      <c r="R55" s="130" t="s">
        <v>260</v>
      </c>
      <c r="S55" s="100" t="s">
        <v>571</v>
      </c>
      <c r="T55" s="134" t="s">
        <v>199</v>
      </c>
    </row>
    <row r="56" spans="1:20" ht="30" x14ac:dyDescent="0.25">
      <c r="A56" s="127">
        <v>22</v>
      </c>
      <c r="B56" s="23" t="s">
        <v>773</v>
      </c>
      <c r="C56" s="111" t="s">
        <v>728</v>
      </c>
      <c r="D56" s="114" t="s">
        <v>259</v>
      </c>
      <c r="E56" s="115" t="s">
        <v>750</v>
      </c>
      <c r="F56" s="128" t="s">
        <v>199</v>
      </c>
      <c r="H56" s="129">
        <v>22</v>
      </c>
      <c r="I56" s="130"/>
      <c r="J56" s="33"/>
      <c r="K56" s="130"/>
      <c r="L56" s="98"/>
      <c r="M56" s="134"/>
      <c r="O56" s="133">
        <v>22</v>
      </c>
      <c r="P56" s="130" t="s">
        <v>357</v>
      </c>
      <c r="Q56" s="33" t="s">
        <v>250</v>
      </c>
      <c r="R56" s="130" t="s">
        <v>260</v>
      </c>
      <c r="S56" s="100" t="s">
        <v>572</v>
      </c>
      <c r="T56" s="134"/>
    </row>
    <row r="57" spans="1:20" ht="30" x14ac:dyDescent="0.25">
      <c r="A57" s="127">
        <v>23</v>
      </c>
      <c r="B57" s="23" t="s">
        <v>774</v>
      </c>
      <c r="C57" s="117" t="s">
        <v>729</v>
      </c>
      <c r="D57" s="114" t="s">
        <v>260</v>
      </c>
      <c r="E57" s="115" t="s">
        <v>751</v>
      </c>
      <c r="F57" s="128" t="s">
        <v>199</v>
      </c>
      <c r="H57" s="129">
        <v>23</v>
      </c>
      <c r="I57" s="130"/>
      <c r="J57" s="33"/>
      <c r="K57" s="130"/>
      <c r="L57" s="98"/>
      <c r="M57" s="134"/>
      <c r="O57" s="133">
        <v>23</v>
      </c>
      <c r="P57" s="130" t="s">
        <v>311</v>
      </c>
      <c r="Q57" s="33" t="s">
        <v>149</v>
      </c>
      <c r="R57" s="130" t="s">
        <v>260</v>
      </c>
      <c r="S57" s="135" t="s">
        <v>540</v>
      </c>
      <c r="T57" s="132"/>
    </row>
    <row r="58" spans="1:20" ht="30" x14ac:dyDescent="0.25">
      <c r="A58" s="127">
        <v>24</v>
      </c>
      <c r="B58" s="23" t="s">
        <v>775</v>
      </c>
      <c r="C58" s="111" t="s">
        <v>730</v>
      </c>
      <c r="D58" s="114" t="s">
        <v>259</v>
      </c>
      <c r="E58" s="115" t="s">
        <v>752</v>
      </c>
      <c r="F58" s="128"/>
      <c r="H58" s="129">
        <v>24</v>
      </c>
      <c r="I58" s="130"/>
      <c r="J58" s="33"/>
      <c r="K58" s="130"/>
      <c r="L58" s="130"/>
      <c r="M58" s="134"/>
      <c r="O58" s="133">
        <v>24</v>
      </c>
      <c r="P58" s="33"/>
      <c r="Q58" s="33"/>
      <c r="R58" s="130"/>
      <c r="S58" s="136"/>
      <c r="T58" s="137"/>
    </row>
    <row r="59" spans="1:20" s="146" customFormat="1" x14ac:dyDescent="0.25">
      <c r="A59" s="142"/>
      <c r="B59" s="143"/>
      <c r="C59" s="144"/>
      <c r="D59" s="143"/>
      <c r="E59" s="143"/>
      <c r="F59" s="145"/>
      <c r="I59" s="147"/>
      <c r="K59" s="147"/>
      <c r="L59" s="147"/>
      <c r="M59" s="147"/>
      <c r="R59" s="147"/>
      <c r="S59" s="147"/>
      <c r="T59" s="147"/>
    </row>
    <row r="60" spans="1:20" s="146" customFormat="1" x14ac:dyDescent="0.25">
      <c r="A60" s="142"/>
      <c r="B60" s="143"/>
      <c r="C60" s="144"/>
      <c r="D60" s="143"/>
      <c r="E60" s="143"/>
      <c r="F60" s="145"/>
      <c r="I60" s="147"/>
      <c r="K60" s="147"/>
      <c r="L60" s="147"/>
      <c r="M60" s="147"/>
      <c r="R60" s="147"/>
      <c r="S60" s="147"/>
      <c r="T60" s="147"/>
    </row>
    <row r="61" spans="1:20" x14ac:dyDescent="0.25">
      <c r="A61" s="7" t="s">
        <v>164</v>
      </c>
      <c r="B61" s="138">
        <v>7.3</v>
      </c>
      <c r="C61" s="139"/>
      <c r="D61" s="140"/>
      <c r="E61" s="140"/>
      <c r="F61" s="140"/>
      <c r="H61" s="7" t="s">
        <v>164</v>
      </c>
      <c r="I61" s="123">
        <v>8.3000000000000007</v>
      </c>
      <c r="O61" s="7" t="s">
        <v>164</v>
      </c>
      <c r="P61" s="123">
        <v>9.3000000000000007</v>
      </c>
    </row>
    <row r="62" spans="1:20" x14ac:dyDescent="0.25">
      <c r="A62" s="124" t="s">
        <v>160</v>
      </c>
      <c r="B62" s="124" t="s">
        <v>28</v>
      </c>
      <c r="C62" s="124" t="s">
        <v>161</v>
      </c>
      <c r="D62" s="124" t="s">
        <v>162</v>
      </c>
      <c r="E62" s="124" t="s">
        <v>163</v>
      </c>
      <c r="F62" s="124" t="s">
        <v>181</v>
      </c>
      <c r="H62" s="125" t="s">
        <v>160</v>
      </c>
      <c r="I62" s="125" t="s">
        <v>28</v>
      </c>
      <c r="J62" s="125" t="s">
        <v>161</v>
      </c>
      <c r="K62" s="125" t="s">
        <v>162</v>
      </c>
      <c r="L62" s="125" t="s">
        <v>163</v>
      </c>
      <c r="M62" s="125" t="s">
        <v>181</v>
      </c>
      <c r="O62" s="126" t="s">
        <v>160</v>
      </c>
      <c r="P62" s="126" t="s">
        <v>28</v>
      </c>
      <c r="Q62" s="126" t="s">
        <v>161</v>
      </c>
      <c r="R62" s="126" t="s">
        <v>162</v>
      </c>
      <c r="S62" s="126" t="s">
        <v>163</v>
      </c>
      <c r="T62" s="126" t="s">
        <v>181</v>
      </c>
    </row>
    <row r="63" spans="1:20" x14ac:dyDescent="0.25">
      <c r="A63" s="127">
        <v>1</v>
      </c>
      <c r="B63" s="23" t="s">
        <v>867</v>
      </c>
      <c r="C63" s="118" t="s">
        <v>776</v>
      </c>
      <c r="D63" s="119" t="s">
        <v>260</v>
      </c>
      <c r="E63" s="120" t="s">
        <v>801</v>
      </c>
      <c r="F63" s="128" t="s">
        <v>199</v>
      </c>
      <c r="H63" s="129">
        <v>1</v>
      </c>
      <c r="I63" s="130" t="s">
        <v>419</v>
      </c>
      <c r="J63" s="33" t="s">
        <v>45</v>
      </c>
      <c r="K63" s="130" t="s">
        <v>259</v>
      </c>
      <c r="L63" s="131" t="s">
        <v>438</v>
      </c>
      <c r="M63" s="134"/>
      <c r="O63" s="133">
        <v>1</v>
      </c>
      <c r="P63" s="130" t="s">
        <v>337</v>
      </c>
      <c r="Q63" s="33" t="s">
        <v>117</v>
      </c>
      <c r="R63" s="130" t="s">
        <v>259</v>
      </c>
      <c r="S63" s="100" t="s">
        <v>558</v>
      </c>
      <c r="T63" s="134"/>
    </row>
    <row r="64" spans="1:20" x14ac:dyDescent="0.25">
      <c r="A64" s="127">
        <v>2</v>
      </c>
      <c r="B64" s="23" t="s">
        <v>868</v>
      </c>
      <c r="C64" s="106" t="s">
        <v>777</v>
      </c>
      <c r="D64" s="109" t="s">
        <v>260</v>
      </c>
      <c r="E64" s="108" t="s">
        <v>802</v>
      </c>
      <c r="F64" s="128"/>
      <c r="H64" s="129">
        <v>2</v>
      </c>
      <c r="I64" s="130" t="s">
        <v>487</v>
      </c>
      <c r="J64" s="33" t="s">
        <v>47</v>
      </c>
      <c r="K64" s="130" t="s">
        <v>259</v>
      </c>
      <c r="L64" s="136" t="s">
        <v>625</v>
      </c>
      <c r="M64" s="134"/>
      <c r="O64" s="133">
        <v>2</v>
      </c>
      <c r="P64" s="130" t="s">
        <v>338</v>
      </c>
      <c r="Q64" s="33" t="s">
        <v>240</v>
      </c>
      <c r="R64" s="130" t="s">
        <v>260</v>
      </c>
      <c r="S64" s="100" t="s">
        <v>542</v>
      </c>
      <c r="T64" s="134" t="s">
        <v>199</v>
      </c>
    </row>
    <row r="65" spans="1:20" x14ac:dyDescent="0.25">
      <c r="A65" s="127">
        <v>3</v>
      </c>
      <c r="B65" s="23" t="s">
        <v>869</v>
      </c>
      <c r="C65" s="106" t="s">
        <v>778</v>
      </c>
      <c r="D65" s="109" t="s">
        <v>260</v>
      </c>
      <c r="E65" s="108" t="s">
        <v>803</v>
      </c>
      <c r="F65" s="128"/>
      <c r="H65" s="129">
        <v>3</v>
      </c>
      <c r="I65" s="130" t="s">
        <v>628</v>
      </c>
      <c r="J65" s="33" t="s">
        <v>626</v>
      </c>
      <c r="K65" s="130" t="s">
        <v>259</v>
      </c>
      <c r="L65" s="100" t="s">
        <v>627</v>
      </c>
      <c r="M65" s="134"/>
      <c r="O65" s="133">
        <v>3</v>
      </c>
      <c r="P65" s="130" t="s">
        <v>292</v>
      </c>
      <c r="Q65" s="33" t="s">
        <v>118</v>
      </c>
      <c r="R65" s="130" t="s">
        <v>259</v>
      </c>
      <c r="S65" s="135" t="s">
        <v>524</v>
      </c>
      <c r="T65" s="132" t="s">
        <v>199</v>
      </c>
    </row>
    <row r="66" spans="1:20" x14ac:dyDescent="0.25">
      <c r="A66" s="127">
        <v>4</v>
      </c>
      <c r="B66" s="23" t="s">
        <v>870</v>
      </c>
      <c r="C66" s="106" t="s">
        <v>779</v>
      </c>
      <c r="D66" s="107" t="s">
        <v>259</v>
      </c>
      <c r="E66" s="108" t="s">
        <v>804</v>
      </c>
      <c r="F66" s="128" t="s">
        <v>199</v>
      </c>
      <c r="H66" s="129">
        <v>4</v>
      </c>
      <c r="I66" s="130" t="s">
        <v>387</v>
      </c>
      <c r="J66" s="33" t="s">
        <v>54</v>
      </c>
      <c r="K66" s="130" t="s">
        <v>260</v>
      </c>
      <c r="L66" s="131" t="s">
        <v>388</v>
      </c>
      <c r="M66" s="134"/>
      <c r="O66" s="133">
        <v>4</v>
      </c>
      <c r="P66" s="130" t="s">
        <v>315</v>
      </c>
      <c r="Q66" s="33" t="s">
        <v>276</v>
      </c>
      <c r="R66" s="130" t="s">
        <v>260</v>
      </c>
      <c r="S66" s="98" t="s">
        <v>543</v>
      </c>
      <c r="T66" s="134"/>
    </row>
    <row r="67" spans="1:20" x14ac:dyDescent="0.25">
      <c r="A67" s="127">
        <v>5</v>
      </c>
      <c r="B67" s="23" t="s">
        <v>871</v>
      </c>
      <c r="C67" s="106" t="s">
        <v>780</v>
      </c>
      <c r="D67" s="107" t="s">
        <v>259</v>
      </c>
      <c r="E67" s="108" t="s">
        <v>805</v>
      </c>
      <c r="F67" s="128"/>
      <c r="H67" s="129">
        <v>5</v>
      </c>
      <c r="I67" s="130" t="s">
        <v>488</v>
      </c>
      <c r="J67" s="33" t="s">
        <v>50</v>
      </c>
      <c r="K67" s="130" t="s">
        <v>260</v>
      </c>
      <c r="L67" s="131" t="s">
        <v>489</v>
      </c>
      <c r="M67" s="134"/>
      <c r="O67" s="133">
        <v>5</v>
      </c>
      <c r="P67" s="130" t="s">
        <v>293</v>
      </c>
      <c r="Q67" s="33" t="s">
        <v>261</v>
      </c>
      <c r="R67" s="130" t="s">
        <v>260</v>
      </c>
      <c r="S67" s="141" t="s">
        <v>525</v>
      </c>
      <c r="T67" s="132"/>
    </row>
    <row r="68" spans="1:20" x14ac:dyDescent="0.25">
      <c r="A68" s="127">
        <v>6</v>
      </c>
      <c r="B68" s="23" t="s">
        <v>872</v>
      </c>
      <c r="C68" s="106" t="s">
        <v>781</v>
      </c>
      <c r="D68" s="107" t="s">
        <v>259</v>
      </c>
      <c r="E68" s="108" t="s">
        <v>806</v>
      </c>
      <c r="F68" s="128"/>
      <c r="H68" s="129">
        <v>6</v>
      </c>
      <c r="I68" s="130" t="s">
        <v>463</v>
      </c>
      <c r="J68" s="33" t="s">
        <v>59</v>
      </c>
      <c r="K68" s="130" t="s">
        <v>260</v>
      </c>
      <c r="L68" s="131" t="s">
        <v>464</v>
      </c>
      <c r="M68" s="134"/>
      <c r="O68" s="133">
        <v>6</v>
      </c>
      <c r="P68" s="130" t="s">
        <v>342</v>
      </c>
      <c r="Q68" s="33" t="s">
        <v>604</v>
      </c>
      <c r="R68" s="130" t="s">
        <v>259</v>
      </c>
      <c r="S68" s="100" t="s">
        <v>561</v>
      </c>
      <c r="T68" s="132" t="s">
        <v>199</v>
      </c>
    </row>
    <row r="69" spans="1:20" x14ac:dyDescent="0.25">
      <c r="A69" s="127">
        <v>7</v>
      </c>
      <c r="B69" s="23" t="s">
        <v>873</v>
      </c>
      <c r="C69" s="106" t="s">
        <v>782</v>
      </c>
      <c r="D69" s="107" t="s">
        <v>260</v>
      </c>
      <c r="E69" s="108" t="s">
        <v>807</v>
      </c>
      <c r="F69" s="128" t="s">
        <v>199</v>
      </c>
      <c r="H69" s="129">
        <v>7</v>
      </c>
      <c r="I69" s="130" t="s">
        <v>493</v>
      </c>
      <c r="J69" s="33" t="s">
        <v>60</v>
      </c>
      <c r="K69" s="130" t="s">
        <v>260</v>
      </c>
      <c r="L69" s="131" t="s">
        <v>494</v>
      </c>
      <c r="M69" s="134"/>
      <c r="O69" s="133">
        <v>7</v>
      </c>
      <c r="P69" s="130" t="s">
        <v>295</v>
      </c>
      <c r="Q69" s="33" t="s">
        <v>124</v>
      </c>
      <c r="R69" s="130" t="s">
        <v>259</v>
      </c>
      <c r="S69" s="135" t="s">
        <v>609</v>
      </c>
      <c r="T69" s="134"/>
    </row>
    <row r="70" spans="1:20" x14ac:dyDescent="0.25">
      <c r="A70" s="127">
        <v>8</v>
      </c>
      <c r="B70" s="23" t="s">
        <v>874</v>
      </c>
      <c r="C70" s="106" t="s">
        <v>783</v>
      </c>
      <c r="D70" s="107" t="s">
        <v>259</v>
      </c>
      <c r="E70" s="110" t="s">
        <v>808</v>
      </c>
      <c r="F70" s="128"/>
      <c r="H70" s="129">
        <v>8</v>
      </c>
      <c r="I70" s="130" t="s">
        <v>469</v>
      </c>
      <c r="J70" s="33" t="s">
        <v>71</v>
      </c>
      <c r="K70" s="130" t="s">
        <v>259</v>
      </c>
      <c r="L70" s="131" t="s">
        <v>470</v>
      </c>
      <c r="M70" s="134"/>
      <c r="O70" s="133">
        <v>8</v>
      </c>
      <c r="P70" s="130" t="s">
        <v>317</v>
      </c>
      <c r="Q70" s="33" t="s">
        <v>122</v>
      </c>
      <c r="R70" s="130" t="s">
        <v>259</v>
      </c>
      <c r="S70" s="98" t="s">
        <v>545</v>
      </c>
      <c r="T70" s="132" t="s">
        <v>199</v>
      </c>
    </row>
    <row r="71" spans="1:20" x14ac:dyDescent="0.25">
      <c r="A71" s="127">
        <v>9</v>
      </c>
      <c r="B71" s="23" t="s">
        <v>875</v>
      </c>
      <c r="C71" s="106" t="s">
        <v>784</v>
      </c>
      <c r="D71" s="109" t="s">
        <v>260</v>
      </c>
      <c r="E71" s="108" t="s">
        <v>809</v>
      </c>
      <c r="F71" s="128" t="s">
        <v>199</v>
      </c>
      <c r="H71" s="129">
        <v>9</v>
      </c>
      <c r="I71" s="130" t="s">
        <v>471</v>
      </c>
      <c r="J71" s="33" t="s">
        <v>75</v>
      </c>
      <c r="K71" s="130" t="s">
        <v>260</v>
      </c>
      <c r="L71" s="131" t="s">
        <v>472</v>
      </c>
      <c r="M71" s="134"/>
      <c r="O71" s="133">
        <v>9</v>
      </c>
      <c r="P71" s="130" t="s">
        <v>346</v>
      </c>
      <c r="Q71" s="33" t="s">
        <v>238</v>
      </c>
      <c r="R71" s="130" t="s">
        <v>260</v>
      </c>
      <c r="S71" s="102" t="s">
        <v>610</v>
      </c>
      <c r="T71" s="134" t="s">
        <v>199</v>
      </c>
    </row>
    <row r="72" spans="1:20" x14ac:dyDescent="0.25">
      <c r="A72" s="127">
        <v>10</v>
      </c>
      <c r="B72" s="23" t="s">
        <v>876</v>
      </c>
      <c r="C72" s="106" t="s">
        <v>785</v>
      </c>
      <c r="D72" s="107" t="s">
        <v>260</v>
      </c>
      <c r="E72" s="108" t="s">
        <v>810</v>
      </c>
      <c r="F72" s="128"/>
      <c r="H72" s="129">
        <v>10</v>
      </c>
      <c r="I72" s="130" t="s">
        <v>401</v>
      </c>
      <c r="J72" s="33" t="s">
        <v>80</v>
      </c>
      <c r="K72" s="130" t="s">
        <v>260</v>
      </c>
      <c r="L72" s="131" t="s">
        <v>402</v>
      </c>
      <c r="M72" s="134"/>
      <c r="O72" s="133">
        <v>10</v>
      </c>
      <c r="P72" s="130" t="s">
        <v>362</v>
      </c>
      <c r="Q72" s="33" t="s">
        <v>123</v>
      </c>
      <c r="R72" s="130" t="s">
        <v>259</v>
      </c>
      <c r="S72" s="136" t="s">
        <v>577</v>
      </c>
      <c r="T72" s="134" t="s">
        <v>199</v>
      </c>
    </row>
    <row r="73" spans="1:20" x14ac:dyDescent="0.25">
      <c r="A73" s="127">
        <v>11</v>
      </c>
      <c r="B73" s="23" t="s">
        <v>877</v>
      </c>
      <c r="C73" s="106" t="s">
        <v>786</v>
      </c>
      <c r="D73" s="109" t="s">
        <v>260</v>
      </c>
      <c r="E73" s="108" t="s">
        <v>811</v>
      </c>
      <c r="F73" s="128" t="s">
        <v>199</v>
      </c>
      <c r="H73" s="129">
        <v>11</v>
      </c>
      <c r="I73" s="130" t="s">
        <v>503</v>
      </c>
      <c r="J73" s="33" t="s">
        <v>504</v>
      </c>
      <c r="K73" s="130" t="s">
        <v>260</v>
      </c>
      <c r="L73" s="131" t="s">
        <v>505</v>
      </c>
      <c r="M73" s="134"/>
      <c r="O73" s="133">
        <v>11</v>
      </c>
      <c r="P73" s="130" t="s">
        <v>363</v>
      </c>
      <c r="Q73" s="33" t="s">
        <v>125</v>
      </c>
      <c r="R73" s="130" t="s">
        <v>260</v>
      </c>
      <c r="S73" s="136" t="s">
        <v>578</v>
      </c>
      <c r="T73" s="134"/>
    </row>
    <row r="74" spans="1:20" x14ac:dyDescent="0.25">
      <c r="A74" s="127">
        <v>12</v>
      </c>
      <c r="B74" s="23" t="s">
        <v>878</v>
      </c>
      <c r="C74" s="106" t="s">
        <v>787</v>
      </c>
      <c r="D74" s="109" t="s">
        <v>259</v>
      </c>
      <c r="E74" s="108" t="s">
        <v>812</v>
      </c>
      <c r="F74" s="128"/>
      <c r="H74" s="129">
        <v>12</v>
      </c>
      <c r="I74" s="130" t="s">
        <v>430</v>
      </c>
      <c r="J74" s="33" t="s">
        <v>85</v>
      </c>
      <c r="K74" s="130" t="s">
        <v>259</v>
      </c>
      <c r="L74" s="131" t="s">
        <v>447</v>
      </c>
      <c r="M74" s="134"/>
      <c r="O74" s="133">
        <v>12</v>
      </c>
      <c r="P74" s="130" t="s">
        <v>347</v>
      </c>
      <c r="Q74" s="33" t="s">
        <v>134</v>
      </c>
      <c r="R74" s="130" t="s">
        <v>259</v>
      </c>
      <c r="S74" s="100" t="s">
        <v>564</v>
      </c>
      <c r="T74" s="134"/>
    </row>
    <row r="75" spans="1:20" x14ac:dyDescent="0.25">
      <c r="A75" s="127">
        <v>13</v>
      </c>
      <c r="B75" s="23" t="s">
        <v>879</v>
      </c>
      <c r="C75" s="106" t="s">
        <v>788</v>
      </c>
      <c r="D75" s="107" t="s">
        <v>260</v>
      </c>
      <c r="E75" s="108" t="s">
        <v>813</v>
      </c>
      <c r="F75" s="128" t="s">
        <v>199</v>
      </c>
      <c r="H75" s="129">
        <v>13</v>
      </c>
      <c r="I75" s="130" t="s">
        <v>403</v>
      </c>
      <c r="J75" s="33" t="s">
        <v>84</v>
      </c>
      <c r="K75" s="130" t="s">
        <v>260</v>
      </c>
      <c r="L75" s="131" t="s">
        <v>404</v>
      </c>
      <c r="M75" s="134"/>
      <c r="O75" s="133">
        <v>13</v>
      </c>
      <c r="P75" s="130" t="s">
        <v>348</v>
      </c>
      <c r="Q75" s="33" t="s">
        <v>605</v>
      </c>
      <c r="R75" s="130" t="s">
        <v>260</v>
      </c>
      <c r="S75" s="100" t="s">
        <v>565</v>
      </c>
      <c r="T75" s="134"/>
    </row>
    <row r="76" spans="1:20" x14ac:dyDescent="0.25">
      <c r="A76" s="127">
        <v>14</v>
      </c>
      <c r="B76" s="23" t="s">
        <v>880</v>
      </c>
      <c r="C76" s="106" t="s">
        <v>789</v>
      </c>
      <c r="D76" s="109" t="s">
        <v>259</v>
      </c>
      <c r="E76" s="108" t="s">
        <v>814</v>
      </c>
      <c r="F76" s="128"/>
      <c r="H76" s="129">
        <v>14</v>
      </c>
      <c r="I76" s="130" t="s">
        <v>506</v>
      </c>
      <c r="J76" s="33" t="s">
        <v>83</v>
      </c>
      <c r="K76" s="130" t="s">
        <v>260</v>
      </c>
      <c r="L76" s="131" t="s">
        <v>496</v>
      </c>
      <c r="M76" s="134"/>
      <c r="O76" s="133">
        <v>14</v>
      </c>
      <c r="P76" s="130" t="s">
        <v>327</v>
      </c>
      <c r="Q76" s="33" t="s">
        <v>608</v>
      </c>
      <c r="R76" s="130" t="s">
        <v>259</v>
      </c>
      <c r="S76" s="98" t="s">
        <v>521</v>
      </c>
      <c r="T76" s="134" t="s">
        <v>199</v>
      </c>
    </row>
    <row r="77" spans="1:20" x14ac:dyDescent="0.25">
      <c r="A77" s="127">
        <v>15</v>
      </c>
      <c r="B77" s="23" t="s">
        <v>881</v>
      </c>
      <c r="C77" s="106" t="s">
        <v>790</v>
      </c>
      <c r="D77" s="109" t="s">
        <v>260</v>
      </c>
      <c r="E77" s="108" t="s">
        <v>732</v>
      </c>
      <c r="F77" s="128" t="s">
        <v>199</v>
      </c>
      <c r="H77" s="129">
        <v>15</v>
      </c>
      <c r="I77" s="130" t="s">
        <v>405</v>
      </c>
      <c r="J77" s="33" t="s">
        <v>88</v>
      </c>
      <c r="K77" s="130" t="s">
        <v>260</v>
      </c>
      <c r="L77" s="131" t="s">
        <v>406</v>
      </c>
      <c r="M77" s="134"/>
      <c r="O77" s="133">
        <v>15</v>
      </c>
      <c r="P77" s="130" t="s">
        <v>329</v>
      </c>
      <c r="Q77" s="33" t="s">
        <v>286</v>
      </c>
      <c r="R77" s="130" t="s">
        <v>260</v>
      </c>
      <c r="S77" s="98" t="s">
        <v>553</v>
      </c>
      <c r="T77" s="134" t="s">
        <v>199</v>
      </c>
    </row>
    <row r="78" spans="1:20" x14ac:dyDescent="0.25">
      <c r="A78" s="127">
        <v>16</v>
      </c>
      <c r="B78" s="23" t="s">
        <v>882</v>
      </c>
      <c r="C78" s="106" t="s">
        <v>791</v>
      </c>
      <c r="D78" s="109" t="s">
        <v>259</v>
      </c>
      <c r="E78" s="108" t="s">
        <v>815</v>
      </c>
      <c r="F78" s="128"/>
      <c r="H78" s="129">
        <v>16</v>
      </c>
      <c r="I78" s="130" t="s">
        <v>431</v>
      </c>
      <c r="J78" s="33" t="s">
        <v>89</v>
      </c>
      <c r="K78" s="130" t="s">
        <v>259</v>
      </c>
      <c r="L78" s="131" t="s">
        <v>448</v>
      </c>
      <c r="M78" s="134"/>
      <c r="O78" s="133">
        <v>16</v>
      </c>
      <c r="P78" s="130" t="s">
        <v>330</v>
      </c>
      <c r="Q78" s="33" t="s">
        <v>142</v>
      </c>
      <c r="R78" s="130" t="s">
        <v>260</v>
      </c>
      <c r="S78" s="98" t="s">
        <v>554</v>
      </c>
      <c r="T78" s="134" t="s">
        <v>199</v>
      </c>
    </row>
    <row r="79" spans="1:20" x14ac:dyDescent="0.25">
      <c r="A79" s="127">
        <v>17</v>
      </c>
      <c r="B79" s="23" t="s">
        <v>883</v>
      </c>
      <c r="C79" s="106" t="s">
        <v>792</v>
      </c>
      <c r="D79" s="109" t="s">
        <v>259</v>
      </c>
      <c r="E79" s="108" t="s">
        <v>816</v>
      </c>
      <c r="F79" s="128" t="s">
        <v>199</v>
      </c>
      <c r="H79" s="129">
        <v>17</v>
      </c>
      <c r="I79" s="130" t="s">
        <v>507</v>
      </c>
      <c r="J79" s="33" t="s">
        <v>87</v>
      </c>
      <c r="K79" s="130" t="s">
        <v>259</v>
      </c>
      <c r="L79" s="131" t="s">
        <v>508</v>
      </c>
      <c r="M79" s="134"/>
      <c r="O79" s="133">
        <v>17</v>
      </c>
      <c r="P79" s="130" t="s">
        <v>350</v>
      </c>
      <c r="Q79" s="33" t="s">
        <v>140</v>
      </c>
      <c r="R79" s="130" t="s">
        <v>259</v>
      </c>
      <c r="S79" s="100" t="s">
        <v>566</v>
      </c>
      <c r="T79" s="134"/>
    </row>
    <row r="80" spans="1:20" x14ac:dyDescent="0.25">
      <c r="A80" s="127">
        <v>18</v>
      </c>
      <c r="B80" s="23" t="s">
        <v>884</v>
      </c>
      <c r="C80" s="106" t="s">
        <v>793</v>
      </c>
      <c r="D80" s="109" t="s">
        <v>259</v>
      </c>
      <c r="E80" s="108" t="s">
        <v>817</v>
      </c>
      <c r="F80" s="128" t="s">
        <v>199</v>
      </c>
      <c r="H80" s="129">
        <v>18</v>
      </c>
      <c r="I80" s="130" t="s">
        <v>434</v>
      </c>
      <c r="J80" s="33" t="s">
        <v>101</v>
      </c>
      <c r="K80" s="130" t="s">
        <v>259</v>
      </c>
      <c r="L80" s="131" t="s">
        <v>451</v>
      </c>
      <c r="M80" s="134"/>
      <c r="O80" s="133">
        <v>18</v>
      </c>
      <c r="P80" s="130" t="s">
        <v>305</v>
      </c>
      <c r="Q80" s="33" t="s">
        <v>267</v>
      </c>
      <c r="R80" s="130" t="s">
        <v>260</v>
      </c>
      <c r="S80" s="135" t="s">
        <v>534</v>
      </c>
      <c r="T80" s="132"/>
    </row>
    <row r="81" spans="1:20" x14ac:dyDescent="0.25">
      <c r="A81" s="127">
        <v>19</v>
      </c>
      <c r="B81" s="23" t="s">
        <v>885</v>
      </c>
      <c r="C81" s="106" t="s">
        <v>794</v>
      </c>
      <c r="D81" s="109" t="s">
        <v>260</v>
      </c>
      <c r="E81" s="108" t="s">
        <v>818</v>
      </c>
      <c r="F81" s="128" t="s">
        <v>199</v>
      </c>
      <c r="H81" s="129">
        <v>19</v>
      </c>
      <c r="I81" s="130" t="s">
        <v>409</v>
      </c>
      <c r="J81" s="33" t="s">
        <v>96</v>
      </c>
      <c r="K81" s="130" t="s">
        <v>260</v>
      </c>
      <c r="L81" s="131" t="s">
        <v>410</v>
      </c>
      <c r="M81" s="134"/>
      <c r="O81" s="133">
        <v>19</v>
      </c>
      <c r="P81" s="130" t="s">
        <v>353</v>
      </c>
      <c r="Q81" s="33" t="s">
        <v>247</v>
      </c>
      <c r="R81" s="130" t="s">
        <v>260</v>
      </c>
      <c r="S81" s="100" t="s">
        <v>568</v>
      </c>
      <c r="T81" s="134"/>
    </row>
    <row r="82" spans="1:20" x14ac:dyDescent="0.25">
      <c r="A82" s="127">
        <v>20</v>
      </c>
      <c r="B82" s="23" t="s">
        <v>886</v>
      </c>
      <c r="C82" s="106" t="s">
        <v>795</v>
      </c>
      <c r="D82" s="109" t="s">
        <v>260</v>
      </c>
      <c r="E82" s="108" t="s">
        <v>819</v>
      </c>
      <c r="F82" s="128"/>
      <c r="H82" s="129">
        <v>20</v>
      </c>
      <c r="I82" s="130"/>
      <c r="J82" s="33"/>
      <c r="K82" s="130"/>
      <c r="L82" s="100"/>
      <c r="M82" s="134"/>
      <c r="O82" s="133">
        <v>20</v>
      </c>
      <c r="P82" s="130" t="s">
        <v>375</v>
      </c>
      <c r="Q82" s="33" t="s">
        <v>255</v>
      </c>
      <c r="R82" s="130" t="s">
        <v>259</v>
      </c>
      <c r="S82" s="136" t="s">
        <v>589</v>
      </c>
      <c r="T82" s="134" t="s">
        <v>199</v>
      </c>
    </row>
    <row r="83" spans="1:20" x14ac:dyDescent="0.25">
      <c r="A83" s="127">
        <v>21</v>
      </c>
      <c r="B83" s="23" t="s">
        <v>887</v>
      </c>
      <c r="C83" s="106" t="s">
        <v>796</v>
      </c>
      <c r="D83" s="109" t="s">
        <v>259</v>
      </c>
      <c r="E83" s="108" t="s">
        <v>820</v>
      </c>
      <c r="F83" s="128"/>
      <c r="H83" s="129">
        <v>21</v>
      </c>
      <c r="I83" s="130"/>
      <c r="J83" s="33"/>
      <c r="K83" s="130"/>
      <c r="L83" s="100"/>
      <c r="M83" s="134"/>
      <c r="O83" s="133">
        <v>21</v>
      </c>
      <c r="P83" s="33" t="s">
        <v>607</v>
      </c>
      <c r="Q83" s="33" t="s">
        <v>606</v>
      </c>
      <c r="R83" s="130" t="s">
        <v>259</v>
      </c>
      <c r="S83" s="136" t="s">
        <v>611</v>
      </c>
      <c r="T83" s="137"/>
    </row>
    <row r="84" spans="1:20" x14ac:dyDescent="0.25">
      <c r="A84" s="127">
        <v>22</v>
      </c>
      <c r="B84" s="23" t="s">
        <v>888</v>
      </c>
      <c r="C84" s="106" t="s">
        <v>797</v>
      </c>
      <c r="D84" s="109" t="s">
        <v>259</v>
      </c>
      <c r="E84" s="108" t="s">
        <v>821</v>
      </c>
      <c r="F84" s="128"/>
      <c r="H84" s="129">
        <v>22</v>
      </c>
      <c r="I84" s="130"/>
      <c r="J84" s="33"/>
      <c r="K84" s="130"/>
      <c r="L84" s="100"/>
      <c r="M84" s="134"/>
      <c r="O84" s="133">
        <v>22</v>
      </c>
      <c r="P84" s="130" t="s">
        <v>307</v>
      </c>
      <c r="Q84" s="33" t="s">
        <v>269</v>
      </c>
      <c r="R84" s="130" t="s">
        <v>259</v>
      </c>
      <c r="S84" s="135" t="s">
        <v>536</v>
      </c>
      <c r="T84" s="132" t="s">
        <v>199</v>
      </c>
    </row>
    <row r="85" spans="1:20" x14ac:dyDescent="0.25">
      <c r="A85" s="127">
        <v>23</v>
      </c>
      <c r="B85" s="23" t="s">
        <v>889</v>
      </c>
      <c r="C85" s="116" t="s">
        <v>798</v>
      </c>
      <c r="D85" s="109" t="s">
        <v>259</v>
      </c>
      <c r="E85" s="108" t="s">
        <v>822</v>
      </c>
      <c r="F85" s="128"/>
      <c r="H85" s="129">
        <v>23</v>
      </c>
      <c r="I85" s="130"/>
      <c r="J85" s="33"/>
      <c r="K85" s="130"/>
      <c r="L85" s="100"/>
      <c r="M85" s="134"/>
      <c r="O85" s="133">
        <v>23</v>
      </c>
      <c r="P85" s="130" t="s">
        <v>380</v>
      </c>
      <c r="Q85" s="33" t="s">
        <v>151</v>
      </c>
      <c r="R85" s="130" t="s">
        <v>260</v>
      </c>
      <c r="S85" s="136" t="s">
        <v>592</v>
      </c>
      <c r="T85" s="134" t="s">
        <v>199</v>
      </c>
    </row>
    <row r="86" spans="1:20" x14ac:dyDescent="0.25">
      <c r="A86" s="127">
        <v>24</v>
      </c>
      <c r="B86" s="23" t="s">
        <v>890</v>
      </c>
      <c r="C86" s="116" t="s">
        <v>799</v>
      </c>
      <c r="D86" s="109" t="s">
        <v>259</v>
      </c>
      <c r="E86" s="108" t="s">
        <v>823</v>
      </c>
      <c r="F86" s="128"/>
      <c r="H86" s="129">
        <v>24</v>
      </c>
      <c r="I86" s="130"/>
      <c r="J86" s="33"/>
      <c r="K86" s="130"/>
      <c r="L86" s="130"/>
      <c r="M86" s="134"/>
      <c r="O86" s="133">
        <v>24</v>
      </c>
      <c r="P86" s="130" t="s">
        <v>310</v>
      </c>
      <c r="Q86" s="33" t="s">
        <v>272</v>
      </c>
      <c r="R86" s="130" t="s">
        <v>259</v>
      </c>
      <c r="S86" s="135" t="s">
        <v>539</v>
      </c>
      <c r="T86" s="132" t="s">
        <v>199</v>
      </c>
    </row>
    <row r="87" spans="1:20" x14ac:dyDescent="0.25">
      <c r="A87" s="127">
        <v>25</v>
      </c>
      <c r="B87" s="23" t="s">
        <v>891</v>
      </c>
      <c r="C87" s="116" t="s">
        <v>800</v>
      </c>
      <c r="D87" s="109" t="s">
        <v>259</v>
      </c>
      <c r="E87" s="108" t="s">
        <v>751</v>
      </c>
      <c r="F87" s="128" t="s">
        <v>199</v>
      </c>
    </row>
    <row r="88" spans="1:20" x14ac:dyDescent="0.25">
      <c r="A88" s="139"/>
      <c r="B88" s="139"/>
      <c r="C88" s="139"/>
      <c r="D88" s="140"/>
      <c r="E88" s="140"/>
      <c r="F88" s="140"/>
    </row>
    <row r="89" spans="1:20" x14ac:dyDescent="0.25">
      <c r="A89" s="7" t="s">
        <v>164</v>
      </c>
      <c r="B89" s="138">
        <v>7.4</v>
      </c>
      <c r="C89" s="139"/>
      <c r="D89" s="140"/>
      <c r="E89" s="140"/>
      <c r="F89" s="140"/>
      <c r="H89" s="7" t="s">
        <v>164</v>
      </c>
      <c r="I89" s="123">
        <v>8.4</v>
      </c>
      <c r="O89" s="7" t="s">
        <v>164</v>
      </c>
      <c r="P89" s="123">
        <v>9.4</v>
      </c>
    </row>
    <row r="90" spans="1:20" ht="15.75" thickBot="1" x14ac:dyDescent="0.3">
      <c r="A90" s="124" t="s">
        <v>160</v>
      </c>
      <c r="B90" s="124" t="s">
        <v>28</v>
      </c>
      <c r="C90" s="124" t="s">
        <v>161</v>
      </c>
      <c r="D90" s="124" t="s">
        <v>162</v>
      </c>
      <c r="E90" s="124" t="s">
        <v>163</v>
      </c>
      <c r="F90" s="124" t="s">
        <v>181</v>
      </c>
      <c r="H90" s="125" t="s">
        <v>160</v>
      </c>
      <c r="I90" s="125" t="s">
        <v>28</v>
      </c>
      <c r="J90" s="125" t="s">
        <v>161</v>
      </c>
      <c r="K90" s="125" t="s">
        <v>162</v>
      </c>
      <c r="L90" s="125" t="s">
        <v>163</v>
      </c>
      <c r="M90" s="125" t="s">
        <v>181</v>
      </c>
      <c r="O90" s="126" t="s">
        <v>160</v>
      </c>
      <c r="P90" s="126" t="s">
        <v>28</v>
      </c>
      <c r="Q90" s="126" t="s">
        <v>161</v>
      </c>
      <c r="R90" s="126" t="s">
        <v>162</v>
      </c>
      <c r="S90" s="126" t="s">
        <v>163</v>
      </c>
      <c r="T90" s="126" t="s">
        <v>181</v>
      </c>
    </row>
    <row r="91" spans="1:20" ht="30.75" thickTop="1" x14ac:dyDescent="0.25">
      <c r="A91" s="127">
        <v>1</v>
      </c>
      <c r="B91" s="23" t="s">
        <v>892</v>
      </c>
      <c r="C91" s="121" t="s">
        <v>824</v>
      </c>
      <c r="D91" s="122" t="s">
        <v>260</v>
      </c>
      <c r="E91" s="120" t="s">
        <v>848</v>
      </c>
      <c r="F91" s="128"/>
      <c r="H91" s="129">
        <v>1</v>
      </c>
      <c r="I91" s="130" t="s">
        <v>421</v>
      </c>
      <c r="J91" s="33" t="s">
        <v>422</v>
      </c>
      <c r="K91" s="130" t="s">
        <v>260</v>
      </c>
      <c r="L91" s="131" t="s">
        <v>439</v>
      </c>
      <c r="M91" s="134"/>
      <c r="O91" s="133">
        <v>1</v>
      </c>
      <c r="P91" s="130" t="s">
        <v>358</v>
      </c>
      <c r="Q91" s="33" t="s">
        <v>115</v>
      </c>
      <c r="R91" s="130" t="s">
        <v>259</v>
      </c>
      <c r="S91" s="136" t="s">
        <v>575</v>
      </c>
      <c r="T91" s="134"/>
    </row>
    <row r="92" spans="1:20" x14ac:dyDescent="0.25">
      <c r="A92" s="127">
        <v>2</v>
      </c>
      <c r="B92" s="23" t="s">
        <v>893</v>
      </c>
      <c r="C92" s="106" t="s">
        <v>825</v>
      </c>
      <c r="D92" s="107" t="s">
        <v>259</v>
      </c>
      <c r="E92" s="108" t="s">
        <v>660</v>
      </c>
      <c r="F92" s="128"/>
      <c r="H92" s="129">
        <v>2</v>
      </c>
      <c r="I92" s="130" t="s">
        <v>389</v>
      </c>
      <c r="J92" s="33" t="s">
        <v>57</v>
      </c>
      <c r="K92" s="130" t="s">
        <v>259</v>
      </c>
      <c r="L92" s="131" t="s">
        <v>390</v>
      </c>
      <c r="M92" s="134"/>
      <c r="O92" s="133">
        <v>2</v>
      </c>
      <c r="P92" s="130" t="s">
        <v>339</v>
      </c>
      <c r="Q92" s="33" t="s">
        <v>241</v>
      </c>
      <c r="R92" s="130" t="s">
        <v>259</v>
      </c>
      <c r="S92" s="100" t="s">
        <v>559</v>
      </c>
      <c r="T92" s="134"/>
    </row>
    <row r="93" spans="1:20" x14ac:dyDescent="0.25">
      <c r="A93" s="127">
        <v>3</v>
      </c>
      <c r="B93" s="23" t="s">
        <v>894</v>
      </c>
      <c r="C93" s="106" t="s">
        <v>826</v>
      </c>
      <c r="D93" s="109" t="s">
        <v>259</v>
      </c>
      <c r="E93" s="108" t="s">
        <v>849</v>
      </c>
      <c r="F93" s="128" t="s">
        <v>199</v>
      </c>
      <c r="H93" s="129">
        <v>3</v>
      </c>
      <c r="I93" s="130" t="s">
        <v>424</v>
      </c>
      <c r="J93" s="33" t="s">
        <v>62</v>
      </c>
      <c r="K93" s="130" t="s">
        <v>259</v>
      </c>
      <c r="L93" s="131" t="s">
        <v>441</v>
      </c>
      <c r="M93" s="134"/>
      <c r="O93" s="133">
        <v>3</v>
      </c>
      <c r="P93" s="130" t="s">
        <v>340</v>
      </c>
      <c r="Q93" s="33" t="s">
        <v>242</v>
      </c>
      <c r="R93" s="130" t="s">
        <v>259</v>
      </c>
      <c r="S93" s="100" t="s">
        <v>560</v>
      </c>
      <c r="T93" s="134"/>
    </row>
    <row r="94" spans="1:20" x14ac:dyDescent="0.25">
      <c r="A94" s="127">
        <v>4</v>
      </c>
      <c r="B94" s="23" t="s">
        <v>895</v>
      </c>
      <c r="C94" s="106" t="s">
        <v>827</v>
      </c>
      <c r="D94" s="109" t="s">
        <v>259</v>
      </c>
      <c r="E94" s="108" t="s">
        <v>850</v>
      </c>
      <c r="F94" s="128"/>
      <c r="H94" s="129">
        <v>4</v>
      </c>
      <c r="I94" s="130" t="s">
        <v>491</v>
      </c>
      <c r="J94" s="33" t="s">
        <v>56</v>
      </c>
      <c r="K94" s="130" t="s">
        <v>260</v>
      </c>
      <c r="L94" s="131" t="s">
        <v>492</v>
      </c>
      <c r="M94" s="134"/>
      <c r="O94" s="133">
        <v>4</v>
      </c>
      <c r="P94" s="130" t="s">
        <v>316</v>
      </c>
      <c r="Q94" s="33" t="s">
        <v>277</v>
      </c>
      <c r="R94" s="130" t="s">
        <v>260</v>
      </c>
      <c r="S94" s="98" t="s">
        <v>544</v>
      </c>
      <c r="T94" s="134"/>
    </row>
    <row r="95" spans="1:20" x14ac:dyDescent="0.25">
      <c r="A95" s="127">
        <v>5</v>
      </c>
      <c r="B95" s="23" t="s">
        <v>896</v>
      </c>
      <c r="C95" s="106" t="s">
        <v>828</v>
      </c>
      <c r="D95" s="107" t="s">
        <v>259</v>
      </c>
      <c r="E95" s="108" t="s">
        <v>851</v>
      </c>
      <c r="F95" s="128" t="s">
        <v>199</v>
      </c>
      <c r="H95" s="129">
        <v>5</v>
      </c>
      <c r="I95" s="130" t="s">
        <v>465</v>
      </c>
      <c r="J95" s="33" t="s">
        <v>63</v>
      </c>
      <c r="K95" s="130" t="s">
        <v>260</v>
      </c>
      <c r="L95" s="131" t="s">
        <v>466</v>
      </c>
      <c r="M95" s="134"/>
      <c r="O95" s="133">
        <v>5</v>
      </c>
      <c r="P95" s="130" t="s">
        <v>345</v>
      </c>
      <c r="Q95" s="33" t="s">
        <v>129</v>
      </c>
      <c r="R95" s="130" t="s">
        <v>260</v>
      </c>
      <c r="S95" s="100" t="s">
        <v>563</v>
      </c>
      <c r="T95" s="134" t="s">
        <v>199</v>
      </c>
    </row>
    <row r="96" spans="1:20" x14ac:dyDescent="0.25">
      <c r="A96" s="127">
        <v>6</v>
      </c>
      <c r="B96" s="23" t="s">
        <v>897</v>
      </c>
      <c r="C96" s="106" t="s">
        <v>829</v>
      </c>
      <c r="D96" s="107" t="s">
        <v>260</v>
      </c>
      <c r="E96" s="108" t="s">
        <v>852</v>
      </c>
      <c r="F96" s="128"/>
      <c r="H96" s="129">
        <v>6</v>
      </c>
      <c r="I96" s="130" t="s">
        <v>425</v>
      </c>
      <c r="J96" s="33" t="s">
        <v>66</v>
      </c>
      <c r="K96" s="130" t="s">
        <v>260</v>
      </c>
      <c r="L96" s="131" t="s">
        <v>442</v>
      </c>
      <c r="M96" s="134"/>
      <c r="O96" s="133">
        <v>6</v>
      </c>
      <c r="P96" s="130" t="s">
        <v>319</v>
      </c>
      <c r="Q96" s="33" t="s">
        <v>279</v>
      </c>
      <c r="R96" s="130" t="s">
        <v>259</v>
      </c>
      <c r="S96" s="98" t="s">
        <v>527</v>
      </c>
      <c r="T96" s="134" t="s">
        <v>199</v>
      </c>
    </row>
    <row r="97" spans="1:20" x14ac:dyDescent="0.25">
      <c r="A97" s="127">
        <v>7</v>
      </c>
      <c r="B97" s="23" t="s">
        <v>898</v>
      </c>
      <c r="C97" s="106" t="s">
        <v>830</v>
      </c>
      <c r="D97" s="107" t="s">
        <v>260</v>
      </c>
      <c r="E97" s="108" t="s">
        <v>735</v>
      </c>
      <c r="F97" s="128" t="s">
        <v>199</v>
      </c>
      <c r="H97" s="129">
        <v>7</v>
      </c>
      <c r="I97" s="130" t="s">
        <v>467</v>
      </c>
      <c r="J97" s="33" t="s">
        <v>67</v>
      </c>
      <c r="K97" s="130" t="s">
        <v>260</v>
      </c>
      <c r="L97" s="131" t="s">
        <v>468</v>
      </c>
      <c r="M97" s="134"/>
      <c r="O97" s="133">
        <v>7</v>
      </c>
      <c r="P97" s="130" t="s">
        <v>323</v>
      </c>
      <c r="Q97" s="33" t="s">
        <v>283</v>
      </c>
      <c r="R97" s="130" t="s">
        <v>259</v>
      </c>
      <c r="S97" s="98" t="s">
        <v>527</v>
      </c>
      <c r="T97" s="134" t="s">
        <v>622</v>
      </c>
    </row>
    <row r="98" spans="1:20" ht="30" x14ac:dyDescent="0.25">
      <c r="A98" s="127">
        <v>8</v>
      </c>
      <c r="B98" s="23" t="s">
        <v>899</v>
      </c>
      <c r="C98" s="106" t="s">
        <v>831</v>
      </c>
      <c r="D98" s="107" t="s">
        <v>260</v>
      </c>
      <c r="E98" s="108" t="s">
        <v>853</v>
      </c>
      <c r="F98" s="128"/>
      <c r="H98" s="129">
        <v>8</v>
      </c>
      <c r="I98" s="130" t="s">
        <v>429</v>
      </c>
      <c r="J98" s="33" t="s">
        <v>81</v>
      </c>
      <c r="K98" s="130" t="s">
        <v>259</v>
      </c>
      <c r="L98" s="131" t="s">
        <v>446</v>
      </c>
      <c r="M98" s="134"/>
      <c r="O98" s="133">
        <v>8</v>
      </c>
      <c r="P98" s="130" t="s">
        <v>324</v>
      </c>
      <c r="Q98" s="33" t="s">
        <v>132</v>
      </c>
      <c r="R98" s="130" t="s">
        <v>259</v>
      </c>
      <c r="S98" s="98" t="s">
        <v>550</v>
      </c>
      <c r="T98" s="134"/>
    </row>
    <row r="99" spans="1:20" x14ac:dyDescent="0.25">
      <c r="A99" s="127">
        <v>9</v>
      </c>
      <c r="B99" s="23" t="s">
        <v>900</v>
      </c>
      <c r="C99" s="106" t="s">
        <v>832</v>
      </c>
      <c r="D99" s="107" t="s">
        <v>259</v>
      </c>
      <c r="E99" s="110" t="s">
        <v>854</v>
      </c>
      <c r="F99" s="128" t="s">
        <v>199</v>
      </c>
      <c r="H99" s="129">
        <v>9</v>
      </c>
      <c r="I99" s="130" t="s">
        <v>501</v>
      </c>
      <c r="J99" s="33" t="s">
        <v>76</v>
      </c>
      <c r="K99" s="130" t="s">
        <v>260</v>
      </c>
      <c r="L99" s="131" t="s">
        <v>502</v>
      </c>
      <c r="M99" s="134"/>
      <c r="O99" s="133">
        <v>9</v>
      </c>
      <c r="P99" s="130" t="s">
        <v>300</v>
      </c>
      <c r="Q99" s="33" t="s">
        <v>128</v>
      </c>
      <c r="R99" s="130" t="s">
        <v>260</v>
      </c>
      <c r="S99" s="141" t="s">
        <v>530</v>
      </c>
      <c r="T99" s="132" t="s">
        <v>199</v>
      </c>
    </row>
    <row r="100" spans="1:20" x14ac:dyDescent="0.25">
      <c r="A100" s="127">
        <v>10</v>
      </c>
      <c r="B100" s="23" t="s">
        <v>901</v>
      </c>
      <c r="C100" s="106" t="s">
        <v>833</v>
      </c>
      <c r="D100" s="107" t="s">
        <v>260</v>
      </c>
      <c r="E100" s="108" t="s">
        <v>855</v>
      </c>
      <c r="F100" s="128"/>
      <c r="H100" s="129">
        <v>10</v>
      </c>
      <c r="I100" s="130" t="s">
        <v>432</v>
      </c>
      <c r="J100" s="33" t="s">
        <v>93</v>
      </c>
      <c r="K100" s="130" t="s">
        <v>259</v>
      </c>
      <c r="L100" s="131" t="s">
        <v>449</v>
      </c>
      <c r="M100" s="134"/>
      <c r="O100" s="133">
        <v>10</v>
      </c>
      <c r="P100" s="130" t="s">
        <v>365</v>
      </c>
      <c r="Q100" s="33" t="s">
        <v>126</v>
      </c>
      <c r="R100" s="130" t="s">
        <v>260</v>
      </c>
      <c r="S100" s="136" t="s">
        <v>579</v>
      </c>
      <c r="T100" s="134"/>
    </row>
    <row r="101" spans="1:20" x14ac:dyDescent="0.25">
      <c r="A101" s="127">
        <v>11</v>
      </c>
      <c r="B101" s="23" t="s">
        <v>902</v>
      </c>
      <c r="C101" s="106" t="s">
        <v>834</v>
      </c>
      <c r="D101" s="107" t="s">
        <v>259</v>
      </c>
      <c r="E101" s="108" t="s">
        <v>856</v>
      </c>
      <c r="F101" s="128" t="s">
        <v>199</v>
      </c>
      <c r="H101" s="129">
        <v>11</v>
      </c>
      <c r="I101" s="130" t="s">
        <v>629</v>
      </c>
      <c r="J101" s="33" t="s">
        <v>90</v>
      </c>
      <c r="K101" s="130" t="s">
        <v>259</v>
      </c>
      <c r="L101" s="131" t="s">
        <v>478</v>
      </c>
      <c r="M101" s="134"/>
      <c r="O101" s="133">
        <v>11</v>
      </c>
      <c r="P101" s="130" t="s">
        <v>325</v>
      </c>
      <c r="Q101" s="33" t="s">
        <v>284</v>
      </c>
      <c r="R101" s="130" t="s">
        <v>259</v>
      </c>
      <c r="S101" s="98" t="s">
        <v>551</v>
      </c>
      <c r="T101" s="134"/>
    </row>
    <row r="102" spans="1:20" x14ac:dyDescent="0.25">
      <c r="A102" s="127">
        <v>12</v>
      </c>
      <c r="B102" s="23" t="s">
        <v>903</v>
      </c>
      <c r="C102" s="106" t="s">
        <v>835</v>
      </c>
      <c r="D102" s="109" t="s">
        <v>259</v>
      </c>
      <c r="E102" s="108" t="s">
        <v>857</v>
      </c>
      <c r="F102" s="128" t="s">
        <v>199</v>
      </c>
      <c r="H102" s="129">
        <v>12</v>
      </c>
      <c r="I102" s="130" t="s">
        <v>433</v>
      </c>
      <c r="J102" s="33" t="s">
        <v>97</v>
      </c>
      <c r="K102" s="130" t="s">
        <v>260</v>
      </c>
      <c r="L102" s="131" t="s">
        <v>450</v>
      </c>
      <c r="M102" s="134"/>
      <c r="O102" s="133">
        <v>12</v>
      </c>
      <c r="P102" s="130" t="s">
        <v>302</v>
      </c>
      <c r="Q102" s="33" t="s">
        <v>612</v>
      </c>
      <c r="R102" s="130" t="s">
        <v>259</v>
      </c>
      <c r="S102" s="135" t="s">
        <v>521</v>
      </c>
      <c r="T102" s="132" t="s">
        <v>199</v>
      </c>
    </row>
    <row r="103" spans="1:20" x14ac:dyDescent="0.25">
      <c r="A103" s="127">
        <v>13</v>
      </c>
      <c r="B103" s="23" t="s">
        <v>904</v>
      </c>
      <c r="C103" s="106" t="s">
        <v>836</v>
      </c>
      <c r="D103" s="109" t="s">
        <v>259</v>
      </c>
      <c r="E103" s="108" t="s">
        <v>858</v>
      </c>
      <c r="F103" s="128" t="s">
        <v>199</v>
      </c>
      <c r="H103" s="129">
        <v>13</v>
      </c>
      <c r="I103" s="130" t="s">
        <v>411</v>
      </c>
      <c r="J103" s="33" t="s">
        <v>100</v>
      </c>
      <c r="K103" s="130" t="s">
        <v>260</v>
      </c>
      <c r="L103" s="131" t="s">
        <v>412</v>
      </c>
      <c r="M103" s="134"/>
      <c r="O103" s="133">
        <v>13</v>
      </c>
      <c r="P103" s="130" t="s">
        <v>370</v>
      </c>
      <c r="Q103" s="33" t="s">
        <v>253</v>
      </c>
      <c r="R103" s="130" t="s">
        <v>260</v>
      </c>
      <c r="S103" s="136" t="s">
        <v>584</v>
      </c>
      <c r="T103" s="134" t="s">
        <v>199</v>
      </c>
    </row>
    <row r="104" spans="1:20" ht="30" x14ac:dyDescent="0.25">
      <c r="A104" s="127">
        <v>14</v>
      </c>
      <c r="B104" s="23" t="s">
        <v>905</v>
      </c>
      <c r="C104" s="106" t="s">
        <v>837</v>
      </c>
      <c r="D104" s="107" t="s">
        <v>259</v>
      </c>
      <c r="E104" s="108" t="s">
        <v>743</v>
      </c>
      <c r="F104" s="128" t="s">
        <v>199</v>
      </c>
      <c r="H104" s="129">
        <v>14</v>
      </c>
      <c r="I104" s="130" t="s">
        <v>510</v>
      </c>
      <c r="J104" s="33" t="s">
        <v>95</v>
      </c>
      <c r="K104" s="130" t="s">
        <v>260</v>
      </c>
      <c r="L104" s="131" t="s">
        <v>511</v>
      </c>
      <c r="M104" s="134"/>
      <c r="O104" s="133">
        <v>14</v>
      </c>
      <c r="P104" s="130" t="s">
        <v>349</v>
      </c>
      <c r="Q104" s="148" t="s">
        <v>138</v>
      </c>
      <c r="R104" s="130" t="s">
        <v>260</v>
      </c>
      <c r="S104" s="100" t="s">
        <v>412</v>
      </c>
      <c r="T104" s="134"/>
    </row>
    <row r="105" spans="1:20" x14ac:dyDescent="0.25">
      <c r="A105" s="127">
        <v>15</v>
      </c>
      <c r="B105" s="23" t="s">
        <v>906</v>
      </c>
      <c r="C105" s="106" t="s">
        <v>838</v>
      </c>
      <c r="D105" s="109" t="s">
        <v>259</v>
      </c>
      <c r="E105" s="108" t="s">
        <v>859</v>
      </c>
      <c r="F105" s="128"/>
      <c r="H105" s="129">
        <v>15</v>
      </c>
      <c r="I105" s="130" t="s">
        <v>513</v>
      </c>
      <c r="J105" s="33" t="s">
        <v>103</v>
      </c>
      <c r="K105" s="130" t="s">
        <v>260</v>
      </c>
      <c r="L105" s="131" t="s">
        <v>514</v>
      </c>
      <c r="M105" s="134"/>
      <c r="O105" s="133">
        <v>15</v>
      </c>
      <c r="P105" s="130" t="s">
        <v>303</v>
      </c>
      <c r="Q105" s="33" t="s">
        <v>136</v>
      </c>
      <c r="R105" s="130" t="s">
        <v>259</v>
      </c>
      <c r="S105" s="135" t="s">
        <v>532</v>
      </c>
      <c r="T105" s="137"/>
    </row>
    <row r="106" spans="1:20" x14ac:dyDescent="0.25">
      <c r="A106" s="127">
        <v>16</v>
      </c>
      <c r="B106" s="23" t="s">
        <v>907</v>
      </c>
      <c r="C106" s="106" t="s">
        <v>839</v>
      </c>
      <c r="D106" s="109" t="s">
        <v>259</v>
      </c>
      <c r="E106" s="108" t="s">
        <v>860</v>
      </c>
      <c r="F106" s="128"/>
      <c r="H106" s="129">
        <v>16</v>
      </c>
      <c r="I106" s="130" t="s">
        <v>436</v>
      </c>
      <c r="J106" s="33" t="s">
        <v>109</v>
      </c>
      <c r="K106" s="130" t="s">
        <v>260</v>
      </c>
      <c r="L106" s="131" t="s">
        <v>453</v>
      </c>
      <c r="M106" s="134"/>
      <c r="O106" s="133">
        <v>16</v>
      </c>
      <c r="P106" s="130" t="s">
        <v>328</v>
      </c>
      <c r="Q106" s="33" t="s">
        <v>285</v>
      </c>
      <c r="R106" s="130" t="s">
        <v>260</v>
      </c>
      <c r="S106" s="98" t="s">
        <v>552</v>
      </c>
      <c r="T106" s="134" t="s">
        <v>199</v>
      </c>
    </row>
    <row r="107" spans="1:20" x14ac:dyDescent="0.25">
      <c r="A107" s="127">
        <v>17</v>
      </c>
      <c r="B107" s="23" t="s">
        <v>908</v>
      </c>
      <c r="C107" s="106" t="s">
        <v>840</v>
      </c>
      <c r="D107" s="109" t="s">
        <v>259</v>
      </c>
      <c r="E107" s="108" t="s">
        <v>861</v>
      </c>
      <c r="F107" s="128" t="s">
        <v>199</v>
      </c>
      <c r="H107" s="129">
        <v>17</v>
      </c>
      <c r="I107" s="130" t="s">
        <v>484</v>
      </c>
      <c r="J107" s="33" t="s">
        <v>106</v>
      </c>
      <c r="K107" s="130" t="s">
        <v>259</v>
      </c>
      <c r="L107" s="131" t="s">
        <v>485</v>
      </c>
      <c r="O107" s="133">
        <v>17</v>
      </c>
      <c r="P107" s="130" t="s">
        <v>352</v>
      </c>
      <c r="Q107" s="33" t="s">
        <v>143</v>
      </c>
      <c r="R107" s="130" t="s">
        <v>259</v>
      </c>
      <c r="S107" s="100" t="s">
        <v>553</v>
      </c>
      <c r="T107" s="134" t="s">
        <v>199</v>
      </c>
    </row>
    <row r="108" spans="1:20" ht="30" x14ac:dyDescent="0.25">
      <c r="A108" s="127">
        <v>18</v>
      </c>
      <c r="B108" s="23" t="s">
        <v>909</v>
      </c>
      <c r="C108" s="106" t="s">
        <v>841</v>
      </c>
      <c r="D108" s="109" t="s">
        <v>260</v>
      </c>
      <c r="E108" s="108" t="s">
        <v>744</v>
      </c>
      <c r="F108" s="128" t="s">
        <v>199</v>
      </c>
      <c r="H108" s="129">
        <v>18</v>
      </c>
      <c r="I108" s="130" t="s">
        <v>413</v>
      </c>
      <c r="J108" s="33" t="s">
        <v>104</v>
      </c>
      <c r="K108" s="130" t="s">
        <v>259</v>
      </c>
      <c r="L108" s="131" t="s">
        <v>414</v>
      </c>
      <c r="M108" s="134"/>
      <c r="O108" s="133">
        <v>18</v>
      </c>
      <c r="P108" s="130" t="s">
        <v>613</v>
      </c>
      <c r="Q108" s="33" t="s">
        <v>614</v>
      </c>
      <c r="R108" s="130" t="s">
        <v>260</v>
      </c>
      <c r="S108" s="136" t="s">
        <v>615</v>
      </c>
      <c r="T108" s="137" t="s">
        <v>199</v>
      </c>
    </row>
    <row r="109" spans="1:20" x14ac:dyDescent="0.25">
      <c r="A109" s="127">
        <v>19</v>
      </c>
      <c r="B109" s="23" t="s">
        <v>910</v>
      </c>
      <c r="C109" s="106" t="s">
        <v>842</v>
      </c>
      <c r="D109" s="109" t="s">
        <v>260</v>
      </c>
      <c r="E109" s="108" t="s">
        <v>862</v>
      </c>
      <c r="F109" s="128" t="s">
        <v>199</v>
      </c>
      <c r="H109" s="129">
        <v>19</v>
      </c>
      <c r="I109" s="130" t="s">
        <v>519</v>
      </c>
      <c r="J109" s="33" t="s">
        <v>114</v>
      </c>
      <c r="K109" s="130" t="s">
        <v>259</v>
      </c>
      <c r="L109" s="131" t="s">
        <v>520</v>
      </c>
      <c r="M109" s="134"/>
      <c r="O109" s="133">
        <v>19</v>
      </c>
      <c r="P109" s="130" t="s">
        <v>332</v>
      </c>
      <c r="Q109" s="33" t="s">
        <v>145</v>
      </c>
      <c r="R109" s="130" t="s">
        <v>260</v>
      </c>
      <c r="S109" s="98" t="s">
        <v>619</v>
      </c>
      <c r="T109" s="134"/>
    </row>
    <row r="110" spans="1:20" x14ac:dyDescent="0.25">
      <c r="A110" s="127">
        <v>20</v>
      </c>
      <c r="B110" s="23" t="s">
        <v>911</v>
      </c>
      <c r="C110" s="106" t="s">
        <v>843</v>
      </c>
      <c r="D110" s="109" t="s">
        <v>259</v>
      </c>
      <c r="E110" s="108" t="s">
        <v>863</v>
      </c>
      <c r="F110" s="128"/>
      <c r="H110" s="129">
        <v>20</v>
      </c>
      <c r="I110" s="130"/>
      <c r="J110" s="33"/>
      <c r="K110" s="130"/>
      <c r="L110" s="136"/>
      <c r="M110" s="134"/>
      <c r="O110" s="133">
        <v>20</v>
      </c>
      <c r="P110" s="130" t="s">
        <v>355</v>
      </c>
      <c r="Q110" s="33" t="s">
        <v>147</v>
      </c>
      <c r="R110" s="130" t="s">
        <v>260</v>
      </c>
      <c r="S110" s="100" t="s">
        <v>570</v>
      </c>
      <c r="T110" s="134"/>
    </row>
    <row r="111" spans="1:20" ht="30" x14ac:dyDescent="0.25">
      <c r="A111" s="127">
        <v>21</v>
      </c>
      <c r="B111" s="23" t="s">
        <v>912</v>
      </c>
      <c r="C111" s="106" t="s">
        <v>844</v>
      </c>
      <c r="D111" s="109" t="s">
        <v>259</v>
      </c>
      <c r="E111" s="108" t="s">
        <v>864</v>
      </c>
      <c r="F111" s="128" t="s">
        <v>199</v>
      </c>
      <c r="H111" s="129">
        <v>21</v>
      </c>
      <c r="I111" s="130"/>
      <c r="J111" s="33"/>
      <c r="K111" s="130"/>
      <c r="L111" s="136"/>
      <c r="M111" s="134"/>
      <c r="O111" s="133">
        <v>21</v>
      </c>
      <c r="P111" s="130" t="s">
        <v>377</v>
      </c>
      <c r="Q111" s="33" t="s">
        <v>148</v>
      </c>
      <c r="R111" s="130" t="s">
        <v>260</v>
      </c>
      <c r="S111" s="136" t="s">
        <v>569</v>
      </c>
      <c r="T111" s="134" t="s">
        <v>199</v>
      </c>
    </row>
    <row r="112" spans="1:20" x14ac:dyDescent="0.25">
      <c r="A112" s="127">
        <v>22</v>
      </c>
      <c r="B112" s="23" t="s">
        <v>913</v>
      </c>
      <c r="C112" s="106" t="s">
        <v>845</v>
      </c>
      <c r="D112" s="109" t="s">
        <v>260</v>
      </c>
      <c r="E112" s="108" t="s">
        <v>865</v>
      </c>
      <c r="F112" s="128" t="s">
        <v>199</v>
      </c>
      <c r="H112" s="129">
        <v>22</v>
      </c>
      <c r="I112" s="130"/>
      <c r="J112" s="33"/>
      <c r="K112" s="130"/>
      <c r="L112" s="136"/>
      <c r="M112" s="134"/>
      <c r="O112" s="133">
        <v>22</v>
      </c>
      <c r="P112" s="33" t="s">
        <v>618</v>
      </c>
      <c r="Q112" s="33" t="s">
        <v>616</v>
      </c>
      <c r="R112" s="130" t="s">
        <v>259</v>
      </c>
      <c r="S112" s="136" t="s">
        <v>617</v>
      </c>
      <c r="T112" s="137"/>
    </row>
    <row r="113" spans="1:20" x14ac:dyDescent="0.25">
      <c r="A113" s="127">
        <v>23</v>
      </c>
      <c r="B113" s="23" t="s">
        <v>914</v>
      </c>
      <c r="C113" s="116" t="s">
        <v>846</v>
      </c>
      <c r="D113" s="109" t="s">
        <v>259</v>
      </c>
      <c r="E113" s="108" t="s">
        <v>866</v>
      </c>
      <c r="F113" s="128"/>
      <c r="H113" s="129">
        <v>23</v>
      </c>
      <c r="I113" s="130"/>
      <c r="J113" s="33"/>
      <c r="K113" s="130"/>
      <c r="L113" s="136"/>
      <c r="M113" s="134"/>
      <c r="O113" s="133">
        <v>23</v>
      </c>
      <c r="P113" s="130" t="s">
        <v>308</v>
      </c>
      <c r="Q113" s="33" t="s">
        <v>270</v>
      </c>
      <c r="R113" s="130" t="s">
        <v>260</v>
      </c>
      <c r="S113" s="135" t="s">
        <v>537</v>
      </c>
      <c r="T113" s="132"/>
    </row>
    <row r="114" spans="1:20" x14ac:dyDescent="0.25">
      <c r="A114" s="127">
        <v>24</v>
      </c>
      <c r="B114" s="23" t="s">
        <v>915</v>
      </c>
      <c r="C114" s="116" t="s">
        <v>847</v>
      </c>
      <c r="D114" s="109" t="s">
        <v>259</v>
      </c>
      <c r="E114" s="108" t="s">
        <v>735</v>
      </c>
      <c r="F114" s="128"/>
      <c r="H114" s="129">
        <v>24</v>
      </c>
      <c r="I114" s="130"/>
      <c r="J114" s="33"/>
      <c r="K114" s="130"/>
      <c r="L114" s="130"/>
      <c r="M114" s="134"/>
      <c r="O114" s="133">
        <v>24</v>
      </c>
      <c r="P114" s="130" t="s">
        <v>333</v>
      </c>
      <c r="Q114" s="33" t="s">
        <v>146</v>
      </c>
      <c r="R114" s="130" t="s">
        <v>260</v>
      </c>
      <c r="S114" s="98" t="s">
        <v>555</v>
      </c>
      <c r="T114" s="134"/>
    </row>
  </sheetData>
  <sheetProtection algorithmName="SHA-512" hashValue="xy3BKtRGJG/3yBTIQKvUl39EyaZfz4RiBr1RtZ17XtXSlXzJmHydLVADw64soSLFVkxaSzWcRX/gA3gjCFt1rQ==" saltValue="+9phnwKoVtjr6hClav+kgQ==" spinCount="100000" sheet="1" objects="1" scenarios="1"/>
  <sortState ref="J5:J27">
    <sortCondition ref="J5"/>
  </sortState>
  <mergeCells count="3">
    <mergeCell ref="O1:T1"/>
    <mergeCell ref="A1:F1"/>
    <mergeCell ref="H1:M1"/>
  </mergeCells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M151"/>
  <sheetViews>
    <sheetView topLeftCell="A119" zoomScale="99" workbookViewId="0">
      <selection activeCell="L5" sqref="L5"/>
    </sheetView>
  </sheetViews>
  <sheetFormatPr defaultColWidth="8.85546875" defaultRowHeight="15" x14ac:dyDescent="0.25"/>
  <cols>
    <col min="2" max="5" width="30.7109375" customWidth="1"/>
    <col min="6" max="9" width="30.7109375" style="5" customWidth="1"/>
    <col min="10" max="13" width="30.7109375" customWidth="1"/>
  </cols>
  <sheetData>
    <row r="2" spans="1:13" ht="31.5" x14ac:dyDescent="0.5">
      <c r="A2" s="3" t="s">
        <v>157</v>
      </c>
    </row>
    <row r="3" spans="1:13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5" customHeight="1" x14ac:dyDescent="0.25">
      <c r="A4" s="28">
        <v>1</v>
      </c>
      <c r="B4" s="17">
        <v>7.1</v>
      </c>
      <c r="C4" s="17">
        <v>7.2</v>
      </c>
      <c r="D4" s="17">
        <v>7.3</v>
      </c>
      <c r="E4" s="17">
        <v>7.4</v>
      </c>
      <c r="F4" s="15">
        <v>8.1</v>
      </c>
      <c r="G4" s="17">
        <v>8.1999999999999993</v>
      </c>
      <c r="H4" s="17">
        <v>8.3000000000000007</v>
      </c>
      <c r="I4" s="17">
        <v>8.4</v>
      </c>
      <c r="J4" s="16">
        <v>9.1</v>
      </c>
      <c r="K4" s="16">
        <v>9.1999999999999993</v>
      </c>
      <c r="L4" s="16">
        <v>9.3000000000000007</v>
      </c>
      <c r="M4" s="16">
        <v>9.4</v>
      </c>
    </row>
    <row r="5" spans="1:13" ht="15.75" customHeight="1" x14ac:dyDescent="0.25">
      <c r="A5" s="28">
        <v>2</v>
      </c>
      <c r="B5" s="11" t="s">
        <v>43</v>
      </c>
      <c r="C5" s="12" t="s">
        <v>601</v>
      </c>
      <c r="D5" s="12" t="s">
        <v>599</v>
      </c>
      <c r="E5" s="12" t="s">
        <v>917</v>
      </c>
      <c r="F5" s="10" t="s">
        <v>918</v>
      </c>
      <c r="G5" s="10" t="s">
        <v>600</v>
      </c>
      <c r="H5" s="12" t="s">
        <v>919</v>
      </c>
      <c r="I5" s="12" t="s">
        <v>152</v>
      </c>
      <c r="J5" s="13" t="s">
        <v>155</v>
      </c>
      <c r="K5" s="13" t="s">
        <v>920</v>
      </c>
      <c r="L5" s="13" t="s">
        <v>154</v>
      </c>
      <c r="M5" s="13" t="s">
        <v>153</v>
      </c>
    </row>
    <row r="6" spans="1:13" s="5" customFormat="1" x14ac:dyDescent="0.25">
      <c r="A6" s="28">
        <v>3</v>
      </c>
      <c r="B6" s="32" t="str">
        <f>'Student Data'!C5</f>
        <v>ANGELINA YANG QI TALPES</v>
      </c>
      <c r="C6" s="20" t="str">
        <f>'Student Data'!C35</f>
        <v>AIMEE JUBILEE EUGENIA NAINGGOLAN</v>
      </c>
      <c r="D6" s="20" t="str">
        <f>'Student Data'!C63</f>
        <v>ALEXANDER ANDREW WIJAYA</v>
      </c>
      <c r="E6" s="32" t="str">
        <f>'Student Data'!C91</f>
        <v>AARON NATHANIEL KOERNIAWAN</v>
      </c>
      <c r="F6" s="21" t="str">
        <f>'Student Data'!J5</f>
        <v>AARON JOAQUIN KARNA</v>
      </c>
      <c r="G6" s="21" t="str">
        <f>'Student Data'!J35</f>
        <v>ASHLEE LEADY</v>
      </c>
      <c r="H6" s="21" t="str">
        <f>'Student Data'!J63</f>
        <v>ALLEGRA WIJAYA</v>
      </c>
      <c r="I6" s="21" t="str">
        <f>'Student Data'!J91</f>
        <v>BEN KRISTOFER BENEDICT</v>
      </c>
      <c r="J6" s="33" t="str">
        <f>'Student Data'!Q5</f>
        <v>ADELBERT REINHARD RIANG</v>
      </c>
      <c r="K6" s="33" t="str">
        <f>'Student Data'!Q35</f>
        <v>ANDREW ANGGITO</v>
      </c>
      <c r="L6" s="33" t="str">
        <f>'Student Data'!Q63</f>
        <v>AUDIE</v>
      </c>
      <c r="M6" s="33" t="str">
        <f>'Student Data'!Q91</f>
        <v>ASHLEY ANDERSON</v>
      </c>
    </row>
    <row r="7" spans="1:13" s="5" customFormat="1" x14ac:dyDescent="0.25">
      <c r="A7" s="28">
        <v>4</v>
      </c>
      <c r="B7" s="32" t="str">
        <f>'Student Data'!C6</f>
        <v>AUDREY MARVELLA DARMAWAN</v>
      </c>
      <c r="C7" s="20" t="str">
        <f>'Student Data'!C36</f>
        <v>ALBERT TANDIJONO</v>
      </c>
      <c r="D7" s="20" t="str">
        <f>'Student Data'!C64</f>
        <v>ARTEMIUS JAYDEN LEANDER</v>
      </c>
      <c r="E7" s="32" t="str">
        <f>'Student Data'!C92</f>
        <v>AGNES</v>
      </c>
      <c r="F7" s="21" t="str">
        <f>'Student Data'!J6</f>
        <v>ANTHONY JAVIER JOSEPH KURNIAWAN</v>
      </c>
      <c r="G7" s="21" t="str">
        <f>'Student Data'!J36</f>
        <v>AUXELL BERNARD SUWANDI</v>
      </c>
      <c r="H7" s="21" t="str">
        <f>'Student Data'!J64</f>
        <v>CARISSA DHARMASTHIRA OEI</v>
      </c>
      <c r="I7" s="21" t="str">
        <f>'Student Data'!J92</f>
        <v>DHARMA PARAMITHA DEWI TARA</v>
      </c>
      <c r="J7" s="33" t="str">
        <f>'Student Data'!Q6</f>
        <v>ALENA PANNA SOEGIANTO</v>
      </c>
      <c r="K7" s="33" t="str">
        <f>'Student Data'!Q36</f>
        <v>CHRISTY OLIVIA</v>
      </c>
      <c r="L7" s="33" t="str">
        <f>'Student Data'!Q64</f>
        <v>BRYAN SURYADJAYA SAPUTRO</v>
      </c>
      <c r="M7" s="33" t="str">
        <f>'Student Data'!Q92</f>
        <v>CAROLINE SANTOSO OPEK</v>
      </c>
    </row>
    <row r="8" spans="1:13" s="5" customFormat="1" x14ac:dyDescent="0.25">
      <c r="A8" s="28">
        <v>5</v>
      </c>
      <c r="B8" s="32" t="str">
        <f>'Student Data'!C7</f>
        <v>CHELLIN CONCETTA</v>
      </c>
      <c r="C8" s="20" t="str">
        <f>'Student Data'!C37</f>
        <v>ANASTASIA FEBRIYANTI</v>
      </c>
      <c r="D8" s="20" t="str">
        <f>'Student Data'!C65</f>
        <v>AUSTEN LOUIS YOUNG</v>
      </c>
      <c r="E8" s="32" t="str">
        <f>'Student Data'!C93</f>
        <v>ALEXIS LIMAN</v>
      </c>
      <c r="F8" s="21" t="str">
        <f>'Student Data'!J7</f>
        <v>ARTHUR PHARRELL SIRAPANDJI</v>
      </c>
      <c r="G8" s="21" t="str">
        <f>'Student Data'!J37</f>
        <v>GRACE YONATAN SETIADI</v>
      </c>
      <c r="H8" s="21" t="str">
        <f>'Student Data'!J65</f>
        <v>CHERISE INDRAWAN</v>
      </c>
      <c r="I8" s="21" t="str">
        <f>'Student Data'!J93</f>
        <v>FABIOLA BEATRICE FORDATKOSU</v>
      </c>
      <c r="J8" s="33" t="str">
        <f>'Student Data'!Q7</f>
        <v>AMARANTA KENNISHIA DIMATEA</v>
      </c>
      <c r="K8" s="33" t="str">
        <f>'Student Data'!Q37</f>
        <v>DEA ESTERINA</v>
      </c>
      <c r="L8" s="33" t="str">
        <f>'Student Data'!Q65</f>
        <v>CAREN DARMAWAN</v>
      </c>
      <c r="M8" s="33" t="str">
        <f>'Student Data'!Q93</f>
        <v>CHARLOTTE VALESKA LORDANO</v>
      </c>
    </row>
    <row r="9" spans="1:13" s="5" customFormat="1" x14ac:dyDescent="0.25">
      <c r="A9" s="28">
        <v>6</v>
      </c>
      <c r="B9" s="32" t="str">
        <f>'Student Data'!C8</f>
        <v>CHRISTIAN ANTHONY ROCHILI</v>
      </c>
      <c r="C9" s="20" t="str">
        <f>'Student Data'!C38</f>
        <v>ANDREA ALEXANDRA ARIFIN</v>
      </c>
      <c r="D9" s="20" t="str">
        <f>'Student Data'!C66</f>
        <v>CARYNN OLIVIA WIJAYA</v>
      </c>
      <c r="E9" s="32" t="str">
        <f>'Student Data'!C94</f>
        <v>ANGELINE TANONI</v>
      </c>
      <c r="F9" s="21" t="str">
        <f>'Student Data'!J8</f>
        <v>BRANDON JOSHUA HAHOLONGAN N.</v>
      </c>
      <c r="G9" s="21" t="str">
        <f>'Student Data'!J38</f>
        <v>IVAN HARYANTO</v>
      </c>
      <c r="H9" s="21" t="str">
        <f>'Student Data'!J66</f>
        <v>DALFIN RAFAEL SOLIHIN</v>
      </c>
      <c r="I9" s="21" t="str">
        <f>'Student Data'!J94</f>
        <v>HANSEL BUDI KURNIAWAN</v>
      </c>
      <c r="J9" s="33" t="str">
        <f>'Student Data'!Q8</f>
        <v>CHARISSA NINA JONATHAN</v>
      </c>
      <c r="K9" s="33" t="str">
        <f>'Student Data'!Q38</f>
        <v>GEMILANG FRIYAN FINN PAKPAHAN</v>
      </c>
      <c r="L9" s="33" t="str">
        <f>'Student Data'!Q66</f>
        <v>CHRISTIAN KEVIN PHANGADI</v>
      </c>
      <c r="M9" s="33" t="str">
        <f>'Student Data'!Q94</f>
        <v>DANIEL MARCELLO TANNY</v>
      </c>
    </row>
    <row r="10" spans="1:13" s="5" customFormat="1" x14ac:dyDescent="0.25">
      <c r="A10" s="28">
        <v>7</v>
      </c>
      <c r="B10" s="32" t="str">
        <f>'Student Data'!C9</f>
        <v>DAVE AZRIEL ADEEV PUTRA</v>
      </c>
      <c r="C10" s="20" t="str">
        <f>'Student Data'!C39</f>
        <v>ANDREW CHRISTOPHER HADI WAHONO</v>
      </c>
      <c r="D10" s="20" t="str">
        <f>'Student Data'!C67</f>
        <v>CATHERINA AILEEN JONATHAN</v>
      </c>
      <c r="E10" s="32" t="str">
        <f>'Student Data'!C95</f>
        <v>ARCELIA GABRIELLE LIEY</v>
      </c>
      <c r="F10" s="21" t="str">
        <f>'Student Data'!J9</f>
        <v>DANIEL JUSTIN CHANG</v>
      </c>
      <c r="G10" s="21" t="str">
        <f>'Student Data'!J39</f>
        <v>JACQUELINE GRACIA SUMARTA</v>
      </c>
      <c r="H10" s="21" t="str">
        <f>'Student Data'!J67</f>
        <v>FARREL NORBERTO LEROY</v>
      </c>
      <c r="I10" s="21" t="str">
        <f>'Student Data'!J95</f>
        <v>JAMES AUSTIN WIDJAYA</v>
      </c>
      <c r="J10" s="33" t="str">
        <f>'Student Data'!Q9</f>
        <v>CHRISTIAN NATHANAEL P.</v>
      </c>
      <c r="K10" s="33" t="str">
        <f>'Student Data'!Q39</f>
        <v>GIOVANNA BRENDA TANUBRATA</v>
      </c>
      <c r="L10" s="33" t="str">
        <f>'Student Data'!Q67</f>
        <v>CHRISTOPHER ELBERT JUSAK</v>
      </c>
      <c r="M10" s="33" t="str">
        <f>'Student Data'!Q95</f>
        <v>FARRELL KEVIN GARDJITO</v>
      </c>
    </row>
    <row r="11" spans="1:13" s="5" customFormat="1" x14ac:dyDescent="0.25">
      <c r="A11" s="28">
        <v>8</v>
      </c>
      <c r="B11" s="32" t="str">
        <f>'Student Data'!C10</f>
        <v>FELICIA CATHERINE</v>
      </c>
      <c r="C11" s="20" t="str">
        <f>'Student Data'!C40</f>
        <v>ASHLEY DANITA RUSLI</v>
      </c>
      <c r="D11" s="20" t="str">
        <f>'Student Data'!C68</f>
        <v>CHERYL MULYADI</v>
      </c>
      <c r="E11" s="32" t="str">
        <f>'Student Data'!C96</f>
        <v>DANIEL MARK</v>
      </c>
      <c r="F11" s="21" t="str">
        <f>'Student Data'!J10</f>
        <v xml:space="preserve">DARLENE HENDRANATA PUTRI </v>
      </c>
      <c r="G11" s="21" t="str">
        <f>'Student Data'!J40</f>
        <v>JASYANDA KARUNISA BADUDU</v>
      </c>
      <c r="H11" s="21" t="str">
        <f>'Student Data'!J68</f>
        <v>FRANKLIN JOSEPH THE</v>
      </c>
      <c r="I11" s="21" t="str">
        <f>'Student Data'!J96</f>
        <v>JASON KOSWARA</v>
      </c>
      <c r="J11" s="33" t="str">
        <f>'Student Data'!Q10</f>
        <v>CHRISTOPHE ANDRE  AGUNG LAWIN</v>
      </c>
      <c r="K11" s="33" t="str">
        <f>'Student Data'!Q40</f>
        <v>JONATHAN KENNETH WIJAYA</v>
      </c>
      <c r="L11" s="33" t="str">
        <f>'Student Data'!Q68</f>
        <v>CLARENCE RIONA WIJAYA</v>
      </c>
      <c r="M11" s="33" t="str">
        <f>'Student Data'!Q96</f>
        <v>FIDELIA MATHEA ULIANA SITORUS</v>
      </c>
    </row>
    <row r="12" spans="1:13" s="5" customFormat="1" x14ac:dyDescent="0.25">
      <c r="A12" s="28">
        <v>9</v>
      </c>
      <c r="B12" s="32" t="str">
        <f>'Student Data'!C11</f>
        <v>FLORENCIA AUDREY HANSARLIE</v>
      </c>
      <c r="C12" s="20" t="str">
        <f>'Student Data'!C41</f>
        <v>BENJAMIN THEOPHILUS COLONDAM</v>
      </c>
      <c r="D12" s="20" t="str">
        <f>'Student Data'!C69</f>
        <v>CLINSMANN FRANCESCO LEMAN</v>
      </c>
      <c r="E12" s="32" t="str">
        <f>'Student Data'!C97</f>
        <v>DYLAN DARMAWAN</v>
      </c>
      <c r="F12" s="21" t="str">
        <f>'Student Data'!J11</f>
        <v>EMMANUEL EMILIO BANGUN</v>
      </c>
      <c r="G12" s="21" t="str">
        <f>'Student Data'!J41</f>
        <v>JONATHAN KEN EDWARD</v>
      </c>
      <c r="H12" s="21" t="str">
        <f>'Student Data'!J69</f>
        <v>IMMANUEL STEVEN HA HANES</v>
      </c>
      <c r="I12" s="21" t="str">
        <f>'Student Data'!J97</f>
        <v>JEREMY DANIEL KEVIN</v>
      </c>
      <c r="J12" s="33" t="str">
        <f>'Student Data'!Q11</f>
        <v>COLLIN DIMAS SANTOSO</v>
      </c>
      <c r="K12" s="33" t="str">
        <f>'Student Data'!Q41</f>
        <v>KATHLEEN ISABELLA</v>
      </c>
      <c r="L12" s="33" t="str">
        <f>'Student Data'!Q69</f>
        <v>CLAUDIA LAVINA</v>
      </c>
      <c r="M12" s="33" t="str">
        <f>'Student Data'!Q97</f>
        <v>JESLYN REIA LARANTUKA</v>
      </c>
    </row>
    <row r="13" spans="1:13" s="5" customFormat="1" x14ac:dyDescent="0.25">
      <c r="A13" s="28">
        <v>10</v>
      </c>
      <c r="B13" s="32" t="str">
        <f>'Student Data'!C12</f>
        <v>GABRIELLA CLARA SUBAKTI</v>
      </c>
      <c r="C13" s="20" t="str">
        <f>'Student Data'!C42</f>
        <v>CAVEN ELBERT YUDIANTO</v>
      </c>
      <c r="D13" s="20" t="str">
        <f>'Student Data'!C70</f>
        <v>FAYOLA ADELINE LEE</v>
      </c>
      <c r="E13" s="32" t="str">
        <f>'Student Data'!C98</f>
        <v>EARL CHRISTIANO DEVA SIMANJUNTAK</v>
      </c>
      <c r="F13" s="21" t="str">
        <f>'Student Data'!J12</f>
        <v>FELINA VIRIYA IRAWAN</v>
      </c>
      <c r="G13" s="21" t="str">
        <f>'Student Data'!J42</f>
        <v>JONATHAN SAMUEL GIROTH</v>
      </c>
      <c r="H13" s="21" t="str">
        <f>'Student Data'!J70</f>
        <v xml:space="preserve">KAYLEE ALLISON GOMULIA </v>
      </c>
      <c r="I13" s="21" t="str">
        <f>'Student Data'!J98</f>
        <v>KELLY WIBAWA KARTADI</v>
      </c>
      <c r="J13" s="33" t="str">
        <f>'Student Data'!Q12</f>
        <v>CRYSTALIA REDEMPTA SHANNIQUE AVEZA WANGSA</v>
      </c>
      <c r="K13" s="33" t="str">
        <f>'Student Data'!Q42</f>
        <v>KENDREW KYNE</v>
      </c>
      <c r="L13" s="33" t="str">
        <f>'Student Data'!Q70</f>
        <v>DARLENE HUO</v>
      </c>
      <c r="M13" s="33" t="str">
        <f>'Student Data'!Q98</f>
        <v>JESSLYN YOVELA</v>
      </c>
    </row>
    <row r="14" spans="1:13" s="5" customFormat="1" x14ac:dyDescent="0.25">
      <c r="A14" s="28">
        <v>11</v>
      </c>
      <c r="B14" s="32" t="str">
        <f>'Student Data'!C13</f>
        <v>GREZELDA MEREDITH HARIJANTO</v>
      </c>
      <c r="C14" s="20" t="str">
        <f>'Student Data'!C43</f>
        <v>CINDY CALLISTA LIM</v>
      </c>
      <c r="D14" s="20" t="str">
        <f>'Student Data'!C71</f>
        <v>GREGORIO EMANUEL JUSAK</v>
      </c>
      <c r="E14" s="32" t="str">
        <f>'Student Data'!C99</f>
        <v>HYACINTHA CALYSTA CHANDRA</v>
      </c>
      <c r="F14" s="21" t="str">
        <f>'Student Data'!J13</f>
        <v>JEREMY CLEMENT</v>
      </c>
      <c r="G14" s="21" t="str">
        <f>'Student Data'!J43</f>
        <v>LOUIS MARTIN</v>
      </c>
      <c r="H14" s="21" t="str">
        <f>'Student Data'!J71</f>
        <v>KENICHI ARYA WIJAYA</v>
      </c>
      <c r="I14" s="21" t="str">
        <f>'Student Data'!J99</f>
        <v>KENJI DUSTIN WANIBE</v>
      </c>
      <c r="J14" s="33" t="str">
        <f>'Student Data'!Q13</f>
        <v>DONI ANTONIO PUTRA</v>
      </c>
      <c r="K14" s="33" t="str">
        <f>'Student Data'!Q43</f>
        <v>MATTHEW BUDHI</v>
      </c>
      <c r="L14" s="33" t="str">
        <f>'Student Data'!Q71</f>
        <v>IMMANUEL NAVE BAJAO</v>
      </c>
      <c r="M14" s="33" t="str">
        <f>'Student Data'!Q99</f>
        <v>JEVINT FELIXCIANO</v>
      </c>
    </row>
    <row r="15" spans="1:13" s="5" customFormat="1" x14ac:dyDescent="0.25">
      <c r="A15" s="28">
        <v>12</v>
      </c>
      <c r="B15" s="32" t="str">
        <f>'Student Data'!C14</f>
        <v>IVANKA JOCELLYN GUNAWAN</v>
      </c>
      <c r="C15" s="20" t="str">
        <f>'Student Data'!C44</f>
        <v>EILEEN AURELIA</v>
      </c>
      <c r="D15" s="20" t="str">
        <f>'Student Data'!C72</f>
        <v>HOWARD KOZALI</v>
      </c>
      <c r="E15" s="32" t="str">
        <f>'Student Data'!C100</f>
        <v>IAN HANSEL</v>
      </c>
      <c r="F15" s="21" t="str">
        <f>'Student Data'!J14</f>
        <v>JESSALYN WYNNA NOORLI</v>
      </c>
      <c r="G15" s="21" t="str">
        <f>'Student Data'!J44</f>
        <v>MARVEL RUDY</v>
      </c>
      <c r="H15" s="21" t="str">
        <f>'Student Data'!J72</f>
        <v>KENNETH RAY WIJAYA</v>
      </c>
      <c r="I15" s="21" t="str">
        <f>'Student Data'!J100</f>
        <v>MARIA GRACIA ATHALIA</v>
      </c>
      <c r="J15" s="33" t="str">
        <f>'Student Data'!Q14</f>
        <v>EUGENE JEREMY KIE TOREDJO</v>
      </c>
      <c r="K15" s="33" t="str">
        <f>'Student Data'!Q44</f>
        <v>MICHELLE FIDELIA HARTONO</v>
      </c>
      <c r="L15" s="33" t="str">
        <f>'Student Data'!Q72</f>
        <v>JANETTE SUPANGAT</v>
      </c>
      <c r="M15" s="33" t="str">
        <f>'Student Data'!Q100</f>
        <v>JOSE JUAN SUSANTO</v>
      </c>
    </row>
    <row r="16" spans="1:13" s="5" customFormat="1" x14ac:dyDescent="0.25">
      <c r="A16" s="28">
        <v>13</v>
      </c>
      <c r="B16" s="32" t="str">
        <f>'Student Data'!C15</f>
        <v>JEREMIAH LEWIS LOEDIJANTO</v>
      </c>
      <c r="C16" s="20" t="str">
        <f>'Student Data'!C45</f>
        <v>ERIN JOCELYN MAK</v>
      </c>
      <c r="D16" s="20" t="str">
        <f>'Student Data'!C73</f>
        <v>IMANUEL LOUIS BUDHI</v>
      </c>
      <c r="E16" s="32" t="str">
        <f>'Student Data'!C101</f>
        <v>JELLIAN ANNABEL LASMANA</v>
      </c>
      <c r="F16" s="21" t="str">
        <f>'Student Data'!J15</f>
        <v>JOCELYN MICHELLA YOUNG</v>
      </c>
      <c r="G16" s="21" t="str">
        <f>'Student Data'!J45</f>
        <v>NADYA MAQDALENE HARTANTO</v>
      </c>
      <c r="H16" s="21" t="str">
        <f>'Student Data'!J73</f>
        <v>KOBALEN KHANISKA ARASEN</v>
      </c>
      <c r="I16" s="21" t="str">
        <f>'Student Data'!J101</f>
        <v>MARTHINA EMMANUEL CHANG</v>
      </c>
      <c r="J16" s="33" t="str">
        <f>'Student Data'!Q15</f>
        <v>FILBERT MATHIAS HALOMOAN SITORUS</v>
      </c>
      <c r="K16" s="33" t="str">
        <f>'Student Data'!Q45</f>
        <v>NATASHA GAVRILA KARYADI</v>
      </c>
      <c r="L16" s="33" t="str">
        <f>'Student Data'!Q73</f>
        <v>JEISEN ZEFANYA</v>
      </c>
      <c r="M16" s="33" t="str">
        <f>'Student Data'!Q101</f>
        <v>JOSEPHINE GISELLE WIDJAJA</v>
      </c>
    </row>
    <row r="17" spans="1:13" s="5" customFormat="1" x14ac:dyDescent="0.25">
      <c r="A17" s="28">
        <v>14</v>
      </c>
      <c r="B17" s="32" t="str">
        <f>'Student Data'!C16</f>
        <v>JEREMY NATHANIEL ANDRIES</v>
      </c>
      <c r="C17" s="20" t="str">
        <f>'Student Data'!C46</f>
        <v>IMANUEL SHEVA GRACIA SIMANDJUNTAK</v>
      </c>
      <c r="D17" s="20" t="str">
        <f>'Student Data'!C74</f>
        <v>ISABELLE ANGELIQUE AYU LAWIN</v>
      </c>
      <c r="E17" s="32" t="str">
        <f>'Student Data'!C102</f>
        <v>JOAN RAISA LARANTUKA</v>
      </c>
      <c r="F17" s="21" t="str">
        <f>'Student Data'!J16</f>
        <v>JUSTIN SURLAYA</v>
      </c>
      <c r="G17" s="21" t="str">
        <f>'Student Data'!J46</f>
        <v>NEWIN JONATHAN SUGIH</v>
      </c>
      <c r="H17" s="21" t="str">
        <f>'Student Data'!J74</f>
        <v xml:space="preserve">LEVINA LAUWIS </v>
      </c>
      <c r="I17" s="21" t="str">
        <f>'Student Data'!J102</f>
        <v>MICHAEL ETHAN SUHERMAN</v>
      </c>
      <c r="J17" s="33" t="str">
        <f>'Student Data'!Q16</f>
        <v>ISHAK ZERAH TANUPUTRA</v>
      </c>
      <c r="K17" s="33" t="e">
        <f>'Student Data'!#REF!</f>
        <v>#REF!</v>
      </c>
      <c r="L17" s="33" t="str">
        <f>'Student Data'!Q74</f>
        <v>JENNIFER TEDRIC</v>
      </c>
      <c r="M17" s="33" t="str">
        <f>'Student Data'!Q102</f>
        <v>KAYLIE JEDIDIAH ALVARO VILLAMOR</v>
      </c>
    </row>
    <row r="18" spans="1:13" s="5" customFormat="1" x14ac:dyDescent="0.25">
      <c r="A18" s="28">
        <v>15</v>
      </c>
      <c r="B18" s="32" t="str">
        <f>'Student Data'!C17</f>
        <v>JEVON THAVEA ANJARO</v>
      </c>
      <c r="C18" s="20" t="str">
        <f>'Student Data'!C47</f>
        <v>JAMES SHAN PHILANDER</v>
      </c>
      <c r="D18" s="20" t="str">
        <f>'Student Data'!C75</f>
        <v>JASON HAZAEL GANDASAPUTRA</v>
      </c>
      <c r="E18" s="32" t="str">
        <f>'Student Data'!C103</f>
        <v>KEIRA RELINO</v>
      </c>
      <c r="F18" s="21" t="str">
        <f>'Student Data'!J17</f>
        <v>KEISHA VIOLA NEVALINA JAYA</v>
      </c>
      <c r="G18" s="21" t="str">
        <f>'Student Data'!J47</f>
        <v>NICOLE ANDREA HALIM</v>
      </c>
      <c r="H18" s="21" t="str">
        <f>'Student Data'!J75</f>
        <v>LIVIOLA MARZETHA HERLINGGO</v>
      </c>
      <c r="I18" s="21" t="str">
        <f>'Student Data'!J103</f>
        <v>OWEN OSBORN</v>
      </c>
      <c r="J18" s="33" t="str">
        <f>'Student Data'!Q17</f>
        <v>JAMISON WIJAYA</v>
      </c>
      <c r="K18" s="33" t="str">
        <f>'Student Data'!Q47</f>
        <v>NATHANAEL NOBELIUS IVASHKA</v>
      </c>
      <c r="L18" s="33" t="str">
        <f>'Student Data'!Q75</f>
        <v>JULIUS GERALD PHO</v>
      </c>
      <c r="M18" s="33" t="str">
        <f>'Student Data'!Q103</f>
        <v>KEVIN CHESTER DELANO</v>
      </c>
    </row>
    <row r="19" spans="1:13" s="5" customFormat="1" x14ac:dyDescent="0.25">
      <c r="A19" s="28">
        <v>16</v>
      </c>
      <c r="B19" s="32" t="str">
        <f>'Student Data'!C18</f>
        <v>JONATHAN NEVILLE HADIWIBOWO</v>
      </c>
      <c r="C19" s="20" t="str">
        <f>'Student Data'!C48</f>
        <v>JOSEPHINE TIFFANY SETIO</v>
      </c>
      <c r="D19" s="20" t="str">
        <f>'Student Data'!C76</f>
        <v>JESLIN GUNAWAN</v>
      </c>
      <c r="E19" s="32" t="str">
        <f>'Student Data'!C104</f>
        <v>KIMBERLY WIDIANTO TANUMIHARDJA</v>
      </c>
      <c r="F19" s="21" t="str">
        <f>'Student Data'!J18</f>
        <v>KIM GUN HEE</v>
      </c>
      <c r="G19" s="21" t="str">
        <f>'Student Data'!J48</f>
        <v>RAUL GONZALO</v>
      </c>
      <c r="H19" s="21" t="str">
        <f>'Student Data'!J76</f>
        <v>LOUIS OCTAVIANUS JASON WANGSA</v>
      </c>
      <c r="I19" s="21" t="str">
        <f>'Student Data'!J104</f>
        <v>PATRICK JETHRO HADIKUSUMA LIE</v>
      </c>
      <c r="J19" s="33" t="str">
        <f>'Student Data'!Q18</f>
        <v>JENNIFER</v>
      </c>
      <c r="K19" s="33" t="str">
        <f>'Student Data'!Q48</f>
        <v>PATRICK WILLIAM KURNIAWAN</v>
      </c>
      <c r="L19" s="33" t="str">
        <f>'Student Data'!Q76</f>
        <v>KIRSTEN JEDIDIAH ALVARO VILLAMOR</v>
      </c>
      <c r="M19" s="33" t="str">
        <f>'Student Data'!Q104</f>
        <v>KEVIN TANDIAN</v>
      </c>
    </row>
    <row r="20" spans="1:13" s="5" customFormat="1" x14ac:dyDescent="0.25">
      <c r="A20" s="28">
        <v>17</v>
      </c>
      <c r="B20" s="32" t="str">
        <f>'Student Data'!C19</f>
        <v>JOSHUA PHILIP WIBAWA KARTADI</v>
      </c>
      <c r="C20" s="20" t="str">
        <f>'Student Data'!C49</f>
        <v>KELLY VALENCIA</v>
      </c>
      <c r="D20" s="20" t="str">
        <f>'Student Data'!C77</f>
        <v>KOEI RYU ICHI YENADHIRA</v>
      </c>
      <c r="E20" s="32" t="str">
        <f>'Student Data'!C105</f>
        <v>LOVELLA DIAN FERNANDO</v>
      </c>
      <c r="F20" s="21" t="str">
        <f>'Student Data'!J19</f>
        <v>KIMBERLEY SHANON ANNABELLE GANAP</v>
      </c>
      <c r="G20" s="21" t="str">
        <f>'Student Data'!J49</f>
        <v>REGGIO LAZARI WIRATMA</v>
      </c>
      <c r="H20" s="21" t="str">
        <f>'Student Data'!J77</f>
        <v>MAKAIO WIMYLIE</v>
      </c>
      <c r="I20" s="21" t="str">
        <f>'Student Data'!J105</f>
        <v>RAYLAND CHANDRA WIJAYA</v>
      </c>
      <c r="J20" s="33" t="str">
        <f>'Student Data'!Q19</f>
        <v>JENNIFER ALESSANDRA DIAZ SIMANJUNTAK</v>
      </c>
      <c r="K20" s="33" t="str">
        <f>'Student Data'!Q49</f>
        <v>REFAYA ALODYA MYRON</v>
      </c>
      <c r="L20" s="33" t="str">
        <f>'Student Data'!Q77</f>
        <v>MATTHEW NICANOR GERALD NATADIPRAJA</v>
      </c>
      <c r="M20" s="33" t="str">
        <f>'Student Data'!Q105</f>
        <v>KIARA DJUMALI</v>
      </c>
    </row>
    <row r="21" spans="1:13" s="5" customFormat="1" x14ac:dyDescent="0.25">
      <c r="A21" s="28">
        <v>18</v>
      </c>
      <c r="B21" s="32" t="str">
        <f>'Student Data'!C20</f>
        <v>KATHLEEN LINDSAY TEMANSYAH</v>
      </c>
      <c r="C21" s="20" t="str">
        <f>'Student Data'!C50</f>
        <v>KENNETH WIDJAJA</v>
      </c>
      <c r="D21" s="20" t="str">
        <f>'Student Data'!C78</f>
        <v>MARYBELLE KAYLEA HERMAN</v>
      </c>
      <c r="E21" s="32" t="str">
        <f>'Student Data'!C106</f>
        <v>MARCHELYN CLAUDIA</v>
      </c>
      <c r="F21" s="21" t="str">
        <f>'Student Data'!J20</f>
        <v>MARIA NATHANIA BUDIARSO</v>
      </c>
      <c r="G21" s="21" t="str">
        <f>'Student Data'!J50</f>
        <v>SAMUEL JETHRO HENDRAWAN</v>
      </c>
      <c r="H21" s="21" t="str">
        <f>'Student Data'!J78</f>
        <v xml:space="preserve">MANDY PRATAMA </v>
      </c>
      <c r="I21" s="21" t="str">
        <f>'Student Data'!J106</f>
        <v>RYAN PATRICK KOMALA</v>
      </c>
      <c r="J21" s="33" t="str">
        <f>'Student Data'!Q20</f>
        <v>JENNISE PATRICIA SUNARYO</v>
      </c>
      <c r="K21" s="33" t="str">
        <f>'Student Data'!Q50</f>
        <v>SHERINE HANS JOCELYNE</v>
      </c>
      <c r="L21" s="33" t="str">
        <f>'Student Data'!Q78</f>
        <v>MAXIMILIAN</v>
      </c>
      <c r="M21" s="33" t="str">
        <f>'Student Data'!Q106</f>
        <v>MATTHEW ASYER BENAYA BANGUN</v>
      </c>
    </row>
    <row r="22" spans="1:13" s="5" customFormat="1" x14ac:dyDescent="0.25">
      <c r="A22" s="28">
        <v>19</v>
      </c>
      <c r="B22" s="32" t="str">
        <f>'Student Data'!C21</f>
        <v>KEVIN BRYAN SUHERMAN</v>
      </c>
      <c r="C22" s="20" t="str">
        <f>'Student Data'!C51</f>
        <v>LAWRENCE FELIX SENTOSA</v>
      </c>
      <c r="D22" s="20" t="str">
        <f>'Student Data'!C79</f>
        <v>NIKKI LOUISA TJAHYONO</v>
      </c>
      <c r="E22" s="32" t="str">
        <f>'Student Data'!C107</f>
        <v>MAYUMI SETIADI</v>
      </c>
      <c r="F22" s="21" t="str">
        <f>'Student Data'!J21</f>
        <v>RAYHAN SANTOSO</v>
      </c>
      <c r="G22" s="21" t="str">
        <f>'Student Data'!J51</f>
        <v>STEFAN ALAYSIUS</v>
      </c>
      <c r="H22" s="21" t="str">
        <f>'Student Data'!J79</f>
        <v>MARIA REGINA REVA TRIHADI</v>
      </c>
      <c r="I22" s="21" t="str">
        <f>'Student Data'!Q46</f>
        <v>NATHAN WIDJAJA</v>
      </c>
      <c r="J22" s="33" t="str">
        <f>'Student Data'!Q21</f>
        <v>JOSEPHINE WIDJAJA</v>
      </c>
      <c r="K22" s="33" t="str">
        <f>'Student Data'!Q51</f>
        <v>SOVIOLA GRACIA GINAT</v>
      </c>
      <c r="L22" s="33" t="str">
        <f>'Student Data'!Q79</f>
        <v>NATALIA</v>
      </c>
      <c r="M22" s="33" t="str">
        <f>'Student Data'!Q107</f>
        <v>NATHASIA ARDELIA</v>
      </c>
    </row>
    <row r="23" spans="1:13" s="5" customFormat="1" x14ac:dyDescent="0.25">
      <c r="A23" s="28">
        <v>20</v>
      </c>
      <c r="B23" s="32" t="str">
        <f>'Student Data'!C22</f>
        <v>NATHANIA NAOMI ROSEMARIE</v>
      </c>
      <c r="C23" s="20" t="str">
        <f>'Student Data'!C52</f>
        <v>LETICIA NATHANIELLE TIRTONADI</v>
      </c>
      <c r="D23" s="20" t="str">
        <f>'Student Data'!C80</f>
        <v>RACHEL ALLETHEIA CHRISTABELLE</v>
      </c>
      <c r="E23" s="32" t="str">
        <f>'Student Data'!C108</f>
        <v>NATHANAEL DHARMAWAN DJURIJANTO</v>
      </c>
      <c r="F23" s="21" t="str">
        <f>'Student Data'!J22</f>
        <v>SHARON MARGARETHA GINAT</v>
      </c>
      <c r="G23" s="21" t="str">
        <f>'Student Data'!J52</f>
        <v>TANYA EDWINA ABIGAIL</v>
      </c>
      <c r="H23" s="21" t="str">
        <f>'Student Data'!J80</f>
        <v>NATASHA CHRISTY</v>
      </c>
      <c r="I23" s="21" t="str">
        <f>'Student Data'!J108</f>
        <v xml:space="preserve">SHERLY VANESSA </v>
      </c>
      <c r="J23" s="33" t="str">
        <f>'Student Data'!Q22</f>
        <v>JUAN NATHAN</v>
      </c>
      <c r="K23" s="33" t="str">
        <f>'Student Data'!Q52</f>
        <v>STEPHEN CHRISTIAN SUIWINATA</v>
      </c>
      <c r="L23" s="33" t="str">
        <f>'Student Data'!Q80</f>
        <v>NATHANAEL RICHARD HA HANES</v>
      </c>
      <c r="M23" s="33" t="str">
        <f>'Student Data'!Q108</f>
        <v>NICHOLAS RAFLI</v>
      </c>
    </row>
    <row r="24" spans="1:13" s="5" customFormat="1" x14ac:dyDescent="0.25">
      <c r="A24" s="28">
        <v>21</v>
      </c>
      <c r="B24" s="32" t="str">
        <f>'Student Data'!C23</f>
        <v>PETER DAVID WIJAYA</v>
      </c>
      <c r="C24" s="20" t="str">
        <f>'Student Data'!C53</f>
        <v>MARCIA RAFLI</v>
      </c>
      <c r="D24" s="20" t="str">
        <f>'Student Data'!C81</f>
        <v>REAGAN NATHANAEL SETIAWAN</v>
      </c>
      <c r="E24" s="32" t="str">
        <f>'Student Data'!C109</f>
        <v>RAUL FILIPE MULJONO</v>
      </c>
      <c r="F24" s="21" t="str">
        <f>'Student Data'!J23</f>
        <v>WILSON AURELIUS RUSMANA</v>
      </c>
      <c r="G24" s="21" t="str">
        <f>'Student Data'!J53</f>
        <v>VIVIAN ADELINE CHIA</v>
      </c>
      <c r="H24" s="21" t="str">
        <f>'Student Data'!J81</f>
        <v>ORLANDO JONATHAN PADIMAN</v>
      </c>
      <c r="I24" s="21" t="str">
        <f>'Student Data'!J109</f>
        <v>THALYA MELODY</v>
      </c>
      <c r="J24" s="33" t="str">
        <f>'Student Data'!Q23</f>
        <v>KATHRYN CAHYADI</v>
      </c>
      <c r="K24" s="33" t="str">
        <f>'Student Data'!Q53</f>
        <v>THERESIA AUDREY KENANYA</v>
      </c>
      <c r="L24" s="33" t="str">
        <f>'Student Data'!Q81</f>
        <v>NICHOLAS HAMMET TARIGAN</v>
      </c>
      <c r="M24" s="33" t="str">
        <f>'Student Data'!Q109</f>
        <v>RAINER DYLAN ELIAS</v>
      </c>
    </row>
    <row r="25" spans="1:13" s="5" customFormat="1" x14ac:dyDescent="0.25">
      <c r="A25" s="28">
        <v>22</v>
      </c>
      <c r="B25" s="32" t="str">
        <f>'Student Data'!C24</f>
        <v>RACHEL TALISA NAFA</v>
      </c>
      <c r="C25" s="20" t="str">
        <f>'Student Data'!C54</f>
        <v>MAXIMILLIAN YANG RUI TALPES</v>
      </c>
      <c r="D25" s="20" t="str">
        <f>'Student Data'!C82</f>
        <v>ROLAND GAVIN</v>
      </c>
      <c r="E25" s="32" t="str">
        <f>'Student Data'!C110</f>
        <v>SHANNON GABRIELLA TAN</v>
      </c>
      <c r="F25" s="21">
        <f>'Student Data'!J24</f>
        <v>0</v>
      </c>
      <c r="G25" s="21">
        <f>'Student Data'!J54</f>
        <v>0</v>
      </c>
      <c r="H25" s="21">
        <f>'Student Data'!J82</f>
        <v>0</v>
      </c>
      <c r="I25" s="21">
        <f>'Student Data'!J110</f>
        <v>0</v>
      </c>
      <c r="J25" s="33" t="str">
        <f>'Student Data'!Q24</f>
        <v>KYRA RISANTI RUSLY</v>
      </c>
      <c r="K25" s="33" t="str">
        <f>'Student Data'!Q54</f>
        <v>VANIA FELISHA HILLARY HALIM</v>
      </c>
      <c r="L25" s="33" t="str">
        <f>'Student Data'!Q82</f>
        <v>NICOLA FARRELL KOSASIH</v>
      </c>
      <c r="M25" s="33" t="str">
        <f>'Student Data'!Q110</f>
        <v>REINO JOSEPH SETYAWAN</v>
      </c>
    </row>
    <row r="26" spans="1:13" s="5" customFormat="1" x14ac:dyDescent="0.25">
      <c r="A26" s="28">
        <v>23</v>
      </c>
      <c r="B26" s="32" t="str">
        <f>'Student Data'!C25</f>
        <v>RACHEL TERESA HARYANTOPUTRI</v>
      </c>
      <c r="C26" s="20" t="str">
        <f>'Student Data'!C55</f>
        <v>MEGAN POETRY SANTOSO</v>
      </c>
      <c r="D26" s="20" t="str">
        <f>'Student Data'!C83</f>
        <v>SHANNON AURELIA WIDJAJA</v>
      </c>
      <c r="E26" s="32" t="str">
        <f>'Student Data'!C111</f>
        <v>SHAQUELLA HANNAH JOSEPHINE SUMALI</v>
      </c>
      <c r="F26" s="21">
        <f>'Student Data'!J25</f>
        <v>0</v>
      </c>
      <c r="G26" s="21">
        <f>'Student Data'!J55</f>
        <v>0</v>
      </c>
      <c r="H26" s="21">
        <f>'Student Data'!J83</f>
        <v>0</v>
      </c>
      <c r="I26" s="21">
        <f>'Student Data'!J111</f>
        <v>0</v>
      </c>
      <c r="J26" s="33" t="str">
        <f>'Student Data'!Q25</f>
        <v>LOUIS VELASCO MULJONO</v>
      </c>
      <c r="K26" s="33" t="str">
        <f>'Student Data'!Q55</f>
        <v>WILLIAM EZRA SIRAPANDJI</v>
      </c>
      <c r="L26" s="33" t="str">
        <f>'Student Data'!Q83</f>
        <v>SHANNON TANADI</v>
      </c>
      <c r="M26" s="33" t="str">
        <f>'Student Data'!Q111</f>
        <v>RICHARD TRIHADI</v>
      </c>
    </row>
    <row r="27" spans="1:13" s="5" customFormat="1" ht="15" customHeight="1" x14ac:dyDescent="0.25">
      <c r="A27" s="28">
        <v>24</v>
      </c>
      <c r="B27" s="32" t="str">
        <f>'Student Data'!C26</f>
        <v>RUSSELL GABRIEL RISWANTO</v>
      </c>
      <c r="C27" s="20" t="str">
        <f>'Student Data'!C56</f>
        <v>NATHANIA AMANDA CHRISARDIANTO</v>
      </c>
      <c r="D27" s="20" t="str">
        <f>'Student Data'!C84</f>
        <v>SOPHIA ALICE HO</v>
      </c>
      <c r="E27" s="32" t="str">
        <f>'Student Data'!C112</f>
        <v>TRANGGA ADIPUTRA GANI</v>
      </c>
      <c r="F27" s="21">
        <f>'Student Data'!J26</f>
        <v>0</v>
      </c>
      <c r="G27" s="21">
        <f>'Student Data'!J56</f>
        <v>0</v>
      </c>
      <c r="H27" s="21">
        <f>'Student Data'!J84</f>
        <v>0</v>
      </c>
      <c r="I27" s="21">
        <f>'Student Data'!J112</f>
        <v>0</v>
      </c>
      <c r="J27" s="33" t="str">
        <f>'Student Data'!Q26</f>
        <v>NICOLE VENA CHANDRA</v>
      </c>
      <c r="K27" s="33" t="str">
        <f>'Student Data'!Q56</f>
        <v>WILLIAM NATHANAEL SANTOSO</v>
      </c>
      <c r="L27" s="33" t="str">
        <f>'Student Data'!Q84</f>
        <v>SHARON DOVIKO TANUWIDJAJA</v>
      </c>
      <c r="M27" s="33" t="str">
        <f>'Student Data'!Q112</f>
        <v>SHARON ANGELICA TAN</v>
      </c>
    </row>
    <row r="28" spans="1:13" s="5" customFormat="1" x14ac:dyDescent="0.25">
      <c r="A28" s="28">
        <v>25</v>
      </c>
      <c r="B28" s="32" t="str">
        <f>'Student Data'!C27</f>
        <v>RYAN PATRICK LESMANA</v>
      </c>
      <c r="C28" s="20" t="str">
        <f>'Student Data'!C57</f>
        <v>RUBEN BENICCIO ABRAHAM TARIGAN</v>
      </c>
      <c r="D28" s="20" t="str">
        <f>'Student Data'!C85</f>
        <v>TIFFANY NATHANIA WIJAYA</v>
      </c>
      <c r="E28" s="32" t="str">
        <f>'Student Data'!C113</f>
        <v>WANG MANNI</v>
      </c>
      <c r="F28" s="21">
        <f>'Student Data'!J27</f>
        <v>0</v>
      </c>
      <c r="G28" s="21">
        <f>'Student Data'!J57</f>
        <v>0</v>
      </c>
      <c r="H28" s="21">
        <f>'Student Data'!J85</f>
        <v>0</v>
      </c>
      <c r="I28" s="21">
        <f>'Student Data'!J113</f>
        <v>0</v>
      </c>
      <c r="J28" s="33" t="str">
        <f>'Student Data'!Q27</f>
        <v>WILSON EKAPUTRA TANUWIDJAJA</v>
      </c>
      <c r="K28" s="33" t="str">
        <f>'Student Data'!Q57</f>
        <v>WILLIAM NOVENIX</v>
      </c>
      <c r="L28" s="33" t="str">
        <f>'Student Data'!Q85</f>
        <v>SUGIANSYAH</v>
      </c>
      <c r="M28" s="33" t="str">
        <f>'Student Data'!Q113</f>
        <v>STEFAN KINAI SOLAGRATIA BUDIMAN</v>
      </c>
    </row>
    <row r="29" spans="1:13" s="5" customFormat="1" x14ac:dyDescent="0.25">
      <c r="A29" s="28">
        <v>26</v>
      </c>
      <c r="B29" s="32" t="str">
        <f>'Student Data'!C28</f>
        <v>SEBASTIAN SAMUEL SETIAWAN</v>
      </c>
      <c r="C29" s="20" t="str">
        <f>'Student Data'!C58</f>
        <v>TRICIA AUDREY PHOEBE ISKANDAR</v>
      </c>
      <c r="D29" s="20" t="str">
        <f>'Student Data'!C86</f>
        <v>VANESSA ORLEANS WIDJAYA</v>
      </c>
      <c r="E29" s="32" t="str">
        <f>'Student Data'!C114</f>
        <v>YEIRA CENDANA ELIM</v>
      </c>
      <c r="F29" s="21">
        <f>'Student Data'!J28</f>
        <v>0</v>
      </c>
      <c r="G29" s="21">
        <f>'Student Data'!J58</f>
        <v>0</v>
      </c>
      <c r="H29" s="21">
        <f>'Student Data'!J86</f>
        <v>0</v>
      </c>
      <c r="I29" s="21">
        <f>'Student Data'!J114</f>
        <v>0</v>
      </c>
      <c r="J29" s="33">
        <f>'Student Data'!Q28</f>
        <v>0</v>
      </c>
      <c r="K29" s="33">
        <f>'Student Data'!Q58</f>
        <v>0</v>
      </c>
      <c r="L29" s="33" t="str">
        <f>'Student Data'!Q86</f>
        <v>THESHIA VERONICA KUSUMA YUN MEY</v>
      </c>
      <c r="M29" s="33" t="str">
        <f>'Student Data'!Q114</f>
        <v>STEPHEN</v>
      </c>
    </row>
    <row r="30" spans="1:13" x14ac:dyDescent="0.25">
      <c r="A30" s="28">
        <v>27</v>
      </c>
      <c r="B30" s="32" t="str">
        <f>'Student Data'!C29</f>
        <v>SHANNON VICTORIA SOLAIMAN</v>
      </c>
      <c r="C30" s="20">
        <f>'Student Data'!C59</f>
        <v>0</v>
      </c>
      <c r="D30" s="20" t="str">
        <f>'Student Data'!C87</f>
        <v>VINESHA DEVINA KARYADI</v>
      </c>
      <c r="E30" s="32">
        <f>'Student Data'!C115</f>
        <v>0</v>
      </c>
      <c r="F30" s="21">
        <f>'Student Data'!J29</f>
        <v>0</v>
      </c>
      <c r="G30" s="21">
        <f>'Student Data'!J59</f>
        <v>0</v>
      </c>
      <c r="H30" s="21">
        <f>'Student Data'!J87</f>
        <v>0</v>
      </c>
      <c r="I30" s="21">
        <f>'Student Data'!J115</f>
        <v>0</v>
      </c>
      <c r="J30" s="33">
        <f>'Student Data'!Q29</f>
        <v>0</v>
      </c>
      <c r="K30" s="33">
        <f>'Student Data'!Q59</f>
        <v>0</v>
      </c>
      <c r="L30" s="33">
        <f>'Student Data'!Q87</f>
        <v>0</v>
      </c>
      <c r="M30" s="33">
        <f>'Student Data'!Q115</f>
        <v>0</v>
      </c>
    </row>
    <row r="31" spans="1:13" x14ac:dyDescent="0.25">
      <c r="A31" s="28">
        <v>28</v>
      </c>
      <c r="B31" s="32" t="str">
        <f>'Student Data'!C30</f>
        <v>SHARON SASMITA</v>
      </c>
      <c r="C31" s="20">
        <f>'Student Data'!C60</f>
        <v>0</v>
      </c>
      <c r="D31" s="20">
        <f>'Student Data'!C88</f>
        <v>0</v>
      </c>
      <c r="E31" s="32">
        <f>'Student Data'!C116</f>
        <v>0</v>
      </c>
      <c r="F31" s="21">
        <f>'Student Data'!J30</f>
        <v>0</v>
      </c>
      <c r="G31" s="21">
        <f>'Student Data'!J60</f>
        <v>0</v>
      </c>
      <c r="H31" s="21">
        <f>'Student Data'!J88</f>
        <v>0</v>
      </c>
      <c r="I31" s="21">
        <f>'Student Data'!J116</f>
        <v>0</v>
      </c>
      <c r="J31" s="33">
        <f>'Student Data'!Q30</f>
        <v>0</v>
      </c>
      <c r="K31" s="33">
        <f>'Student Data'!Q60</f>
        <v>0</v>
      </c>
      <c r="L31" s="33">
        <f>'Student Data'!Q88</f>
        <v>0</v>
      </c>
      <c r="M31" s="33">
        <f>'Student Data'!Q116</f>
        <v>0</v>
      </c>
    </row>
    <row r="32" spans="1:13" x14ac:dyDescent="0.25">
      <c r="A32" s="26"/>
    </row>
    <row r="33" spans="1:13" s="1" customFormat="1" ht="31.5" x14ac:dyDescent="0.5">
      <c r="A33" s="29" t="s">
        <v>156</v>
      </c>
      <c r="F33" s="14"/>
      <c r="G33" s="14"/>
      <c r="H33" s="14"/>
      <c r="I33" s="14"/>
    </row>
    <row r="34" spans="1:13" x14ac:dyDescent="0.25">
      <c r="A34" s="26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28">
        <v>1</v>
      </c>
      <c r="B35" s="17">
        <v>7.1</v>
      </c>
      <c r="C35" s="17">
        <v>7.2</v>
      </c>
      <c r="D35" s="17">
        <v>7.3</v>
      </c>
      <c r="E35" s="17">
        <v>7.4</v>
      </c>
      <c r="F35" s="15">
        <v>8.1</v>
      </c>
      <c r="G35" s="17">
        <v>8.1999999999999993</v>
      </c>
      <c r="H35" s="17">
        <v>8.3000000000000007</v>
      </c>
      <c r="I35" s="17">
        <v>8.4</v>
      </c>
      <c r="J35" s="16">
        <v>9.1</v>
      </c>
      <c r="K35" s="16">
        <v>9.1999999999999993</v>
      </c>
      <c r="L35" s="16">
        <v>9.3000000000000007</v>
      </c>
      <c r="M35" s="16">
        <v>9.4</v>
      </c>
    </row>
    <row r="36" spans="1:13" x14ac:dyDescent="0.25">
      <c r="A36" s="28">
        <v>2</v>
      </c>
      <c r="B36" s="22" t="str">
        <f>'Student Data'!B5</f>
        <v>941 / 0063229828</v>
      </c>
      <c r="C36" s="23" t="str">
        <f>'Student Data'!B35</f>
        <v>934 / 0064038203</v>
      </c>
      <c r="D36" s="23" t="str">
        <f>'Student Data'!B63</f>
        <v>936 / 0067727982</v>
      </c>
      <c r="E36" s="22" t="str">
        <f>'Student Data'!B91</f>
        <v>932 / 0063919268</v>
      </c>
      <c r="F36" s="24" t="str">
        <f>'Student Data'!I5</f>
        <v>854 / 0051072071</v>
      </c>
      <c r="G36" s="24" t="str">
        <f>'Student Data'!I35</f>
        <v>858 / 0055553057</v>
      </c>
      <c r="H36" s="24" t="str">
        <f>'Student Data'!I63</f>
        <v>855 / 0058737804</v>
      </c>
      <c r="I36" s="24" t="str">
        <f>'Student Data'!I91</f>
        <v>860 / 0051297749</v>
      </c>
      <c r="J36" s="25" t="str">
        <f>'Student Data'!P5</f>
        <v>757 / 0046197583</v>
      </c>
      <c r="K36" s="25" t="str">
        <f>'Student Data'!P35</f>
        <v>760 / 0042039729</v>
      </c>
      <c r="L36" s="25" t="str">
        <f>'Student Data'!P63</f>
        <v>762 / 0041486592</v>
      </c>
      <c r="M36" s="25" t="str">
        <f>'Student Data'!P91</f>
        <v>761 / 0042050046</v>
      </c>
    </row>
    <row r="37" spans="1:13" x14ac:dyDescent="0.25">
      <c r="A37" s="28">
        <v>3</v>
      </c>
      <c r="B37" s="22" t="str">
        <f>'Student Data'!B6</f>
        <v>946 / 0064479401</v>
      </c>
      <c r="C37" s="23" t="str">
        <f>'Student Data'!B36</f>
        <v>935 / 0065070391</v>
      </c>
      <c r="D37" s="23" t="str">
        <f>'Student Data'!B64</f>
        <v>944 / 0067111179</v>
      </c>
      <c r="E37" s="22" t="str">
        <f>'Student Data'!B92</f>
        <v>933 / 0063903656</v>
      </c>
      <c r="F37" s="24" t="str">
        <f>'Student Data'!I6</f>
        <v>856 / 0051073897</v>
      </c>
      <c r="G37" s="24" t="str">
        <f>'Student Data'!I36</f>
        <v>859</v>
      </c>
      <c r="H37" s="24" t="str">
        <f>'Student Data'!I64</f>
        <v>863 / 0057981284</v>
      </c>
      <c r="I37" s="24" t="str">
        <f>'Student Data'!I92</f>
        <v>867 / 0050874710</v>
      </c>
      <c r="J37" s="25" t="str">
        <f>'Student Data'!P6</f>
        <v>758 / 0042039979</v>
      </c>
      <c r="K37" s="25" t="str">
        <f>'Student Data'!P36</f>
        <v>773 / 0041795703</v>
      </c>
      <c r="L37" s="25" t="str">
        <f>'Student Data'!P64</f>
        <v>764 / 0041810896</v>
      </c>
      <c r="M37" s="25" t="str">
        <f>'Student Data'!P92</f>
        <v>766 / 0040871536</v>
      </c>
    </row>
    <row r="38" spans="1:13" x14ac:dyDescent="0.25">
      <c r="A38" s="28">
        <v>4</v>
      </c>
      <c r="B38" s="22" t="str">
        <f>'Student Data'!B7</f>
        <v>952 /0068249082</v>
      </c>
      <c r="C38" s="23" t="str">
        <f>'Student Data'!B37</f>
        <v>938 / 0067733125</v>
      </c>
      <c r="D38" s="23" t="str">
        <f>'Student Data'!B65</f>
        <v>947 / 0065743102</v>
      </c>
      <c r="E38" s="22" t="str">
        <f>'Student Data'!B93</f>
        <v>937 / 0067868872</v>
      </c>
      <c r="F38" s="24" t="str">
        <f>'Student Data'!I7</f>
        <v>857 / 0050857757</v>
      </c>
      <c r="G38" s="24" t="str">
        <f>'Student Data'!I37</f>
        <v>873 / 0058652907</v>
      </c>
      <c r="H38" s="24" t="str">
        <f>'Student Data'!I65</f>
        <v>930 / 0054129371</v>
      </c>
      <c r="I38" s="24" t="str">
        <f>'Student Data'!I93</f>
        <v>869 / 0050874715</v>
      </c>
      <c r="J38" s="25" t="str">
        <f>'Student Data'!P7</f>
        <v>759 / 0041875773</v>
      </c>
      <c r="K38" s="25" t="str">
        <f>'Student Data'!P37</f>
        <v>780 / 0040871569</v>
      </c>
      <c r="L38" s="25" t="str">
        <f>'Student Data'!P65</f>
        <v>765 / 0041777207</v>
      </c>
      <c r="M38" s="25" t="str">
        <f>'Student Data'!P93</f>
        <v>768 / 0041876535</v>
      </c>
    </row>
    <row r="39" spans="1:13" x14ac:dyDescent="0.25">
      <c r="A39" s="28">
        <v>5</v>
      </c>
      <c r="B39" s="22" t="str">
        <f>'Student Data'!B8</f>
        <v>954 / 0068054333</v>
      </c>
      <c r="C39" s="23" t="str">
        <f>'Student Data'!B38</f>
        <v>939 / 0063415540</v>
      </c>
      <c r="D39" s="23" t="str">
        <f>'Student Data'!B66</f>
        <v>949 / 0066745076</v>
      </c>
      <c r="E39" s="22" t="str">
        <f>'Student Data'!B94</f>
        <v>942 / 0065188091</v>
      </c>
      <c r="F39" s="24" t="str">
        <f>'Student Data'!I8</f>
        <v>861 / 0051072235</v>
      </c>
      <c r="G39" s="24" t="str">
        <f>'Student Data'!I38</f>
        <v>876 / 0050858455</v>
      </c>
      <c r="H39" s="24" t="str">
        <f>'Student Data'!I66</f>
        <v>864 / 0050874690</v>
      </c>
      <c r="I39" s="24" t="str">
        <f>'Student Data'!I94</f>
        <v>874 / 0057868302</v>
      </c>
      <c r="J39" s="25" t="str">
        <f>'Student Data'!P8</f>
        <v>767 / 0041795656</v>
      </c>
      <c r="K39" s="25" t="str">
        <f>'Student Data'!P38</f>
        <v>786 / 0041879059</v>
      </c>
      <c r="L39" s="25" t="str">
        <f>'Student Data'!P66</f>
        <v>769 / 0041896927</v>
      </c>
      <c r="M39" s="25" t="str">
        <f>'Student Data'!P94</f>
        <v>778 / 0041510241</v>
      </c>
    </row>
    <row r="40" spans="1:13" x14ac:dyDescent="0.25">
      <c r="A40" s="28">
        <v>6</v>
      </c>
      <c r="B40" s="22" t="str">
        <f>'Student Data'!B9</f>
        <v>958 / 0063862617</v>
      </c>
      <c r="C40" s="23" t="str">
        <f>'Student Data'!B39</f>
        <v>940 / 0062610226</v>
      </c>
      <c r="D40" s="23" t="str">
        <f>'Student Data'!B67</f>
        <v>950 / 0057593517</v>
      </c>
      <c r="E40" s="22" t="str">
        <f>'Student Data'!B95</f>
        <v>943 / 0058770570</v>
      </c>
      <c r="F40" s="24" t="str">
        <f>'Student Data'!I9</f>
        <v>865 / 0055258588</v>
      </c>
      <c r="G40" s="24" t="str">
        <f>'Student Data'!I39</f>
        <v>877 / 0055025990</v>
      </c>
      <c r="H40" s="24" t="str">
        <f>'Student Data'!I67</f>
        <v>870 / 0050874719</v>
      </c>
      <c r="I40" s="24" t="str">
        <f>'Student Data'!I95</f>
        <v>878 / 0050874727</v>
      </c>
      <c r="J40" s="25" t="str">
        <f>'Student Data'!P9</f>
        <v>770 / 0045192456</v>
      </c>
      <c r="K40" s="25" t="str">
        <f>'Student Data'!P39</f>
        <v>787 / 0041796248</v>
      </c>
      <c r="L40" s="25" t="str">
        <f>'Student Data'!P67</f>
        <v>772 / 0041795657</v>
      </c>
      <c r="M40" s="25" t="str">
        <f>'Student Data'!P95</f>
        <v>783 / 0041796283</v>
      </c>
    </row>
    <row r="41" spans="1:13" x14ac:dyDescent="0.25">
      <c r="A41" s="28">
        <v>7</v>
      </c>
      <c r="B41" s="22" t="str">
        <f>'Student Data'!B10</f>
        <v>964 / 0069124442</v>
      </c>
      <c r="C41" s="23" t="str">
        <f>'Student Data'!B40</f>
        <v>945 / 0061118792</v>
      </c>
      <c r="D41" s="23" t="str">
        <f>'Student Data'!B68</f>
        <v>953 / 0062587081</v>
      </c>
      <c r="E41" s="22" t="str">
        <f>'Student Data'!B96</f>
        <v>957 / 0061082967</v>
      </c>
      <c r="F41" s="24" t="str">
        <f>'Student Data'!I10</f>
        <v>866 / 0050858210</v>
      </c>
      <c r="G41" s="24" t="str">
        <f>'Student Data'!I40</f>
        <v>880 / 0044994733</v>
      </c>
      <c r="H41" s="24" t="str">
        <f>'Student Data'!I68</f>
        <v>872 / 0050858424</v>
      </c>
      <c r="I41" s="24" t="str">
        <f>'Student Data'!I96</f>
        <v>879 / 0050874810</v>
      </c>
      <c r="J41" s="25" t="str">
        <f>'Student Data'!P10</f>
        <v>771 / 0043891453</v>
      </c>
      <c r="K41" s="25" t="str">
        <f>'Student Data'!P40</f>
        <v>801 / 0035858450</v>
      </c>
      <c r="L41" s="25" t="str">
        <f>'Student Data'!P68</f>
        <v>774 / 0041810147</v>
      </c>
      <c r="M41" s="25" t="str">
        <f>'Student Data'!P96</f>
        <v>784 / 0041796135</v>
      </c>
    </row>
    <row r="42" spans="1:13" x14ac:dyDescent="0.25">
      <c r="A42" s="28">
        <v>8</v>
      </c>
      <c r="B42" s="22" t="str">
        <f>'Student Data'!B11</f>
        <v>965 / 0062639597</v>
      </c>
      <c r="C42" s="23" t="str">
        <f>'Student Data'!B41</f>
        <v>948 / 0063138583</v>
      </c>
      <c r="D42" s="23" t="str">
        <f>'Student Data'!B69</f>
        <v>956 / 0069156485</v>
      </c>
      <c r="E42" s="22" t="str">
        <f>'Student Data'!B97</f>
        <v>959 / 0051790964</v>
      </c>
      <c r="F42" s="24" t="str">
        <f>'Student Data'!I11</f>
        <v>868 / 0051778056</v>
      </c>
      <c r="G42" s="24" t="str">
        <f>'Student Data'!I41</f>
        <v>885 / 0050858851</v>
      </c>
      <c r="H42" s="24" t="str">
        <f>'Student Data'!I69</f>
        <v>875 / 0051072583</v>
      </c>
      <c r="I42" s="24" t="str">
        <f>'Student Data'!I97</f>
        <v>882 / 0050858680</v>
      </c>
      <c r="J42" s="25" t="str">
        <f>'Student Data'!P11</f>
        <v>776 / 0040871555</v>
      </c>
      <c r="K42" s="25" t="str">
        <f>'Student Data'!P41</f>
        <v>807 / 0041897166</v>
      </c>
      <c r="L42" s="25" t="str">
        <f>'Student Data'!P69</f>
        <v>775 / 0045900822</v>
      </c>
      <c r="M42" s="25" t="str">
        <f>'Student Data'!P97</f>
        <v>798 / 0041615018</v>
      </c>
    </row>
    <row r="43" spans="1:13" x14ac:dyDescent="0.25">
      <c r="A43" s="28">
        <v>9</v>
      </c>
      <c r="B43" s="22" t="str">
        <f>'Student Data'!B12</f>
        <v>966 / 0061824456</v>
      </c>
      <c r="C43" s="23" t="str">
        <f>'Student Data'!B42</f>
        <v>951 / 0063992444</v>
      </c>
      <c r="D43" s="23" t="str">
        <f>'Student Data'!B70</f>
        <v>963 / 0062698923</v>
      </c>
      <c r="E43" s="22" t="str">
        <f>'Student Data'!B98</f>
        <v>960 / 0061394975</v>
      </c>
      <c r="F43" s="24" t="str">
        <f>'Student Data'!I12</f>
        <v>871 / 0058206317</v>
      </c>
      <c r="G43" s="24" t="str">
        <f>'Student Data'!I42</f>
        <v>886 / 0051072739</v>
      </c>
      <c r="H43" s="24" t="str">
        <f>'Student Data'!I70</f>
        <v>888 / 0050874824</v>
      </c>
      <c r="I43" s="24" t="str">
        <f>'Student Data'!I98</f>
        <v>890 / 0050858995</v>
      </c>
      <c r="J43" s="25" t="str">
        <f>'Student Data'!P12</f>
        <v>777 / 0042039732</v>
      </c>
      <c r="K43" s="25" t="str">
        <f>'Student Data'!P42</f>
        <v>810 / 0041810232</v>
      </c>
      <c r="L43" s="25" t="str">
        <f>'Student Data'!P70</f>
        <v>779 / 0041879015</v>
      </c>
      <c r="M43" s="25" t="str">
        <f>'Student Data'!P98</f>
        <v>799 / 0035858434</v>
      </c>
    </row>
    <row r="44" spans="1:13" x14ac:dyDescent="0.25">
      <c r="A44" s="28">
        <v>10</v>
      </c>
      <c r="B44" s="22" t="str">
        <f>'Student Data'!B13</f>
        <v>968 / 0056399916</v>
      </c>
      <c r="C44" s="23" t="str">
        <f>'Student Data'!B43</f>
        <v>955 / 0062504465</v>
      </c>
      <c r="D44" s="23" t="str">
        <f>'Student Data'!B71</f>
        <v>967 / 0067768294</v>
      </c>
      <c r="E44" s="22" t="str">
        <f>'Student Data'!B99</f>
        <v>970 / 0061179296</v>
      </c>
      <c r="F44" s="24" t="str">
        <f>'Student Data'!I13</f>
        <v>881 / 0052987079</v>
      </c>
      <c r="G44" s="24" t="str">
        <f>'Student Data'!I43</f>
        <v>897 / 0050874910</v>
      </c>
      <c r="H44" s="24" t="str">
        <f>'Student Data'!I71</f>
        <v>811 / 0050375602</v>
      </c>
      <c r="I44" s="24" t="str">
        <f>'Student Data'!I99</f>
        <v>891 / 0050874891</v>
      </c>
      <c r="J44" s="25" t="str">
        <f>'Student Data'!P13</f>
        <v>781 / 0031895380</v>
      </c>
      <c r="K44" s="25" t="str">
        <f>'Student Data'!P43</f>
        <v>820 / 0041056348</v>
      </c>
      <c r="L44" s="25" t="str">
        <f>'Student Data'!P71</f>
        <v>788</v>
      </c>
      <c r="M44" s="25" t="str">
        <f>'Student Data'!P99</f>
        <v>800 / 0033413458</v>
      </c>
    </row>
    <row r="45" spans="1:13" x14ac:dyDescent="0.25">
      <c r="A45" s="28">
        <v>11</v>
      </c>
      <c r="B45" s="22" t="str">
        <f>'Student Data'!B14</f>
        <v>975 / 0068237325</v>
      </c>
      <c r="C45" s="23" t="str">
        <f>'Student Data'!B44</f>
        <v>961 / 0062580876</v>
      </c>
      <c r="D45" s="23" t="str">
        <f>'Student Data'!B72</f>
        <v>969 / 0052795687</v>
      </c>
      <c r="E45" s="22" t="str">
        <f>'Student Data'!B100</f>
        <v>971 / 0067704822</v>
      </c>
      <c r="F45" s="24" t="str">
        <f>'Student Data'!I14</f>
        <v>883 / 0049269456</v>
      </c>
      <c r="G45" s="24" t="str">
        <f>'Student Data'!I44</f>
        <v>905 / 0050790306</v>
      </c>
      <c r="H45" s="24" t="str">
        <f>'Student Data'!I72</f>
        <v>892 / 0051072737</v>
      </c>
      <c r="I45" s="24" t="str">
        <f>'Student Data'!I100</f>
        <v>901 / 0045763702</v>
      </c>
      <c r="J45" s="25" t="str">
        <f>'Student Data'!P14</f>
        <v>782 / 0029370221</v>
      </c>
      <c r="K45" s="25" t="str">
        <f>'Student Data'!P44</f>
        <v>823 / 0041897191</v>
      </c>
      <c r="L45" s="25" t="str">
        <f>'Student Data'!P72</f>
        <v>791 / 0041810238</v>
      </c>
      <c r="M45" s="25" t="str">
        <f>'Student Data'!P100</f>
        <v>802 / 0035797541</v>
      </c>
    </row>
    <row r="46" spans="1:13" x14ac:dyDescent="0.25">
      <c r="A46" s="28">
        <v>12</v>
      </c>
      <c r="B46" s="22" t="str">
        <f>'Student Data'!B15</f>
        <v>979 / 0068671422</v>
      </c>
      <c r="C46" s="23" t="str">
        <f>'Student Data'!B45</f>
        <v>962 / 0062437466</v>
      </c>
      <c r="D46" s="23" t="str">
        <f>'Student Data'!B73</f>
        <v>972 / 0062324344</v>
      </c>
      <c r="E46" s="22" t="str">
        <f>'Student Data'!B101</f>
        <v>978 / 0053696381</v>
      </c>
      <c r="F46" s="24" t="str">
        <f>'Student Data'!I15</f>
        <v>884 / 0051072709</v>
      </c>
      <c r="G46" s="24" t="str">
        <f>'Student Data'!I45</f>
        <v>907 / 0051074268</v>
      </c>
      <c r="H46" s="24" t="str">
        <f>'Student Data'!I73</f>
        <v>894 / 0053308735</v>
      </c>
      <c r="I46" s="24" t="str">
        <f>'Student Data'!I101</f>
        <v>904 / 0050875131</v>
      </c>
      <c r="J46" s="25" t="str">
        <f>'Student Data'!P15</f>
        <v>785 / 0041810813</v>
      </c>
      <c r="K46" s="25" t="str">
        <f>'Student Data'!P45</f>
        <v>825 / 0035898906</v>
      </c>
      <c r="L46" s="25" t="str">
        <f>'Student Data'!P73</f>
        <v>793 / 0041673073</v>
      </c>
      <c r="M46" s="25" t="str">
        <f>'Student Data'!P101</f>
        <v>803 / 0041897169</v>
      </c>
    </row>
    <row r="47" spans="1:13" x14ac:dyDescent="0.25">
      <c r="A47" s="28">
        <v>13</v>
      </c>
      <c r="B47" s="22" t="str">
        <f>'Student Data'!B16</f>
        <v>980 / 0069878454</v>
      </c>
      <c r="C47" s="23" t="str">
        <f>'Student Data'!B46</f>
        <v>973 / 0064453639</v>
      </c>
      <c r="D47" s="23" t="str">
        <f>'Student Data'!B74</f>
        <v>947 / 0064814464</v>
      </c>
      <c r="E47" s="22" t="str">
        <f>'Student Data'!B102</f>
        <v>983 / 0062983291</v>
      </c>
      <c r="F47" s="24" t="str">
        <f>'Student Data'!I16</f>
        <v>887 / 0050874821</v>
      </c>
      <c r="G47" s="24" t="str">
        <f>'Student Data'!I46</f>
        <v>909 / 0051074272</v>
      </c>
      <c r="H47" s="24" t="str">
        <f>'Student Data'!I74</f>
        <v>895 / 0051074191</v>
      </c>
      <c r="I47" s="24" t="str">
        <f>'Student Data'!I102</f>
        <v>906 / 0040772024</v>
      </c>
      <c r="J47" s="25" t="str">
        <f>'Student Data'!P16</f>
        <v>789 / 0040871540</v>
      </c>
      <c r="K47" s="25" t="e">
        <f>'Student Data'!#REF!</f>
        <v>#REF!</v>
      </c>
      <c r="L47" s="25" t="str">
        <f>'Student Data'!P74</f>
        <v>796 / 0041496281</v>
      </c>
      <c r="M47" s="25" t="str">
        <f>'Student Data'!P102</f>
        <v>809</v>
      </c>
    </row>
    <row r="48" spans="1:13" x14ac:dyDescent="0.25">
      <c r="A48" s="28">
        <v>14</v>
      </c>
      <c r="B48" s="22" t="str">
        <f>'Student Data'!B17</f>
        <v>982 / 0064224524</v>
      </c>
      <c r="C48" s="23" t="str">
        <f>'Student Data'!B47</f>
        <v>976 / 0063606220</v>
      </c>
      <c r="D48" s="23" t="str">
        <f>'Student Data'!B75</f>
        <v>977 / 0067238287</v>
      </c>
      <c r="E48" s="22" t="str">
        <f>'Student Data'!B103</f>
        <v>988 / 0064021633</v>
      </c>
      <c r="F48" s="24" t="str">
        <f>'Student Data'!I17</f>
        <v>889 / 0050874883</v>
      </c>
      <c r="G48" s="24" t="str">
        <f>'Student Data'!I47</f>
        <v>910 / 005125304</v>
      </c>
      <c r="H48" s="24" t="str">
        <f>'Student Data'!I75</f>
        <v>896 / 0053088071</v>
      </c>
      <c r="I48" s="24" t="str">
        <f>'Student Data'!I103</f>
        <v>912 / 0047667452</v>
      </c>
      <c r="J48" s="25" t="str">
        <f>'Student Data'!P17</f>
        <v>790 / 0043891840</v>
      </c>
      <c r="K48" s="25" t="str">
        <f>'Student Data'!P47</f>
        <v>827 / 0033946124</v>
      </c>
      <c r="L48" s="25" t="str">
        <f>'Student Data'!P75</f>
        <v>806 / 0041893761</v>
      </c>
      <c r="M48" s="25" t="str">
        <f>'Student Data'!P103</f>
        <v>812 / 0045154570</v>
      </c>
    </row>
    <row r="49" spans="1:13" x14ac:dyDescent="0.25">
      <c r="A49" s="28">
        <v>15</v>
      </c>
      <c r="B49" s="22" t="str">
        <f>'Student Data'!B18</f>
        <v>984 / 0065983015</v>
      </c>
      <c r="C49" s="23" t="str">
        <f>'Student Data'!B48</f>
        <v>985 / 0068062636</v>
      </c>
      <c r="D49" s="23" t="str">
        <f>'Student Data'!B76</f>
        <v>981 / 0068862507</v>
      </c>
      <c r="E49" s="22" t="str">
        <f>'Student Data'!B104</f>
        <v>992 / 0069336485</v>
      </c>
      <c r="F49" s="24" t="str">
        <f>'Student Data'!I18</f>
        <v>928 / 0055067646</v>
      </c>
      <c r="G49" s="24" t="str">
        <f>'Student Data'!I48</f>
        <v>914 / 0051074383</v>
      </c>
      <c r="H49" s="24" t="str">
        <f>'Student Data'!I76</f>
        <v>898 / 0051072540</v>
      </c>
      <c r="I49" s="24" t="str">
        <f>'Student Data'!I104</f>
        <v>913 / 0052375028</v>
      </c>
      <c r="J49" s="25" t="str">
        <f>'Student Data'!P18</f>
        <v>794 / 0056349351</v>
      </c>
      <c r="K49" s="25" t="str">
        <f>'Student Data'!P48</f>
        <v>833 / 0035859435</v>
      </c>
      <c r="L49" s="25" t="str">
        <f>'Student Data'!P76</f>
        <v>815</v>
      </c>
      <c r="M49" s="25" t="str">
        <f>'Student Data'!P104</f>
        <v>813 / 0041810864</v>
      </c>
    </row>
    <row r="50" spans="1:13" x14ac:dyDescent="0.25">
      <c r="A50" s="28">
        <v>16</v>
      </c>
      <c r="B50" s="22" t="str">
        <f>'Student Data'!B19</f>
        <v>986 / 0069349628</v>
      </c>
      <c r="C50" s="23" t="str">
        <f>'Student Data'!B49</f>
        <v>989 / 0063926277</v>
      </c>
      <c r="D50" s="23" t="str">
        <f>'Student Data'!B77</f>
        <v>993 / 0064320016</v>
      </c>
      <c r="E50" s="22" t="str">
        <f>'Student Data'!B105</f>
        <v>996 / 0068411398</v>
      </c>
      <c r="F50" s="24" t="str">
        <f>'Student Data'!I19</f>
        <v>893 / 0051074187</v>
      </c>
      <c r="G50" s="24" t="str">
        <f>'Student Data'!I49</f>
        <v>917 / 0056496156</v>
      </c>
      <c r="H50" s="24" t="str">
        <f>'Student Data'!I77</f>
        <v>899 / 0053436236</v>
      </c>
      <c r="I50" s="24" t="str">
        <f>'Student Data'!I105</f>
        <v>916 / 0051074411</v>
      </c>
      <c r="J50" s="25" t="str">
        <f>'Student Data'!P19</f>
        <v>795 / 0050396547</v>
      </c>
      <c r="K50" s="25" t="str">
        <f>'Student Data'!P49</f>
        <v>835 / 0041790922</v>
      </c>
      <c r="L50" s="25" t="str">
        <f>'Student Data'!P77</f>
        <v>821 / 0042038379</v>
      </c>
      <c r="M50" s="25" t="str">
        <f>'Student Data'!P105</f>
        <v>814 / 0041615024</v>
      </c>
    </row>
    <row r="51" spans="1:13" x14ac:dyDescent="0.25">
      <c r="A51" s="28">
        <v>17</v>
      </c>
      <c r="B51" s="22" t="str">
        <f>'Student Data'!B20</f>
        <v>987 / 0064369904</v>
      </c>
      <c r="C51" s="23" t="str">
        <f>'Student Data'!B50</f>
        <v>990 / 0062259128</v>
      </c>
      <c r="D51" s="23" t="str">
        <f>'Student Data'!B78</f>
        <v>999 / 0067026893</v>
      </c>
      <c r="E51" s="22" t="str">
        <f>'Student Data'!B106</f>
        <v>997 / 0063960220</v>
      </c>
      <c r="F51" s="24" t="str">
        <f>'Student Data'!I20</f>
        <v>901 / 0051265357</v>
      </c>
      <c r="G51" s="24" t="str">
        <f>'Student Data'!I50</f>
        <v>919 / 0057785037</v>
      </c>
      <c r="H51" s="24" t="str">
        <f>'Student Data'!I78</f>
        <v>900 / 0050875020</v>
      </c>
      <c r="I51" s="24" t="str">
        <f>'Student Data'!I106</f>
        <v>918 / 0049580798</v>
      </c>
      <c r="J51" s="25" t="str">
        <f>'Student Data'!P20</f>
        <v>797 / 0043916797</v>
      </c>
      <c r="K51" s="25" t="str">
        <f>'Student Data'!P50</f>
        <v>839 / 0041891951</v>
      </c>
      <c r="L51" s="25" t="str">
        <f>'Student Data'!P78</f>
        <v>822 / 0041879216</v>
      </c>
      <c r="M51" s="25" t="str">
        <f>'Student Data'!P106</f>
        <v>819 / 0042116925</v>
      </c>
    </row>
    <row r="52" spans="1:13" x14ac:dyDescent="0.25">
      <c r="A52" s="28">
        <v>18</v>
      </c>
      <c r="B52" s="22" t="str">
        <f>'Student Data'!B21</f>
        <v>991 / 0069750007</v>
      </c>
      <c r="C52" s="23" t="str">
        <f>'Student Data'!B51</f>
        <v>994 / 0064398420</v>
      </c>
      <c r="D52" s="23" t="str">
        <f>'Student Data'!B79</f>
        <v>1006 / 0066783095</v>
      </c>
      <c r="E52" s="22" t="str">
        <f>'Student Data'!B107</f>
        <v>1001 / 0069418055</v>
      </c>
      <c r="F52" s="24" t="str">
        <f>'Student Data'!I21</f>
        <v>915 / 0053015400</v>
      </c>
      <c r="G52" s="24" t="str">
        <f>'Student Data'!I51</f>
        <v>923 / 0055769668</v>
      </c>
      <c r="H52" s="24" t="str">
        <f>'Student Data'!I79</f>
        <v>903 / 0050875112</v>
      </c>
      <c r="I52" s="24" t="str">
        <f>'Student Data'!P46</f>
        <v>826 / 0040971454</v>
      </c>
      <c r="J52" s="25" t="str">
        <f>'Student Data'!P21</f>
        <v>804 / 0035873843</v>
      </c>
      <c r="K52" s="25" t="str">
        <f>'Student Data'!P51</f>
        <v>840 / 0041795545</v>
      </c>
      <c r="L52" s="25" t="str">
        <f>'Student Data'!P79</f>
        <v>824 / 0041810180</v>
      </c>
      <c r="M52" s="25" t="str">
        <f>'Student Data'!P107</f>
        <v>829 / 0041911313</v>
      </c>
    </row>
    <row r="53" spans="1:13" x14ac:dyDescent="0.25">
      <c r="A53" s="28">
        <v>19</v>
      </c>
      <c r="B53" s="22" t="str">
        <f>'Student Data'!B22</f>
        <v>1005 / 0069154536</v>
      </c>
      <c r="C53" s="23" t="str">
        <f>'Student Data'!B52</f>
        <v>995 / 0064916505</v>
      </c>
      <c r="D53" s="23" t="str">
        <f>'Student Data'!B80</f>
        <v>1008 / 0061524809</v>
      </c>
      <c r="E53" s="22" t="str">
        <f>'Student Data'!B108</f>
        <v>1003 / 0061666446</v>
      </c>
      <c r="F53" s="24" t="str">
        <f>'Student Data'!I22</f>
        <v>920 / 0054716765</v>
      </c>
      <c r="G53" s="24" t="str">
        <f>'Student Data'!I52</f>
        <v>924 / 0051073375</v>
      </c>
      <c r="H53" s="24" t="str">
        <f>'Student Data'!I80</f>
        <v>908 / 0050838305</v>
      </c>
      <c r="I53" s="24" t="str">
        <f>'Student Data'!I108</f>
        <v>922 / 0051074581</v>
      </c>
      <c r="J53" s="25" t="str">
        <f>'Student Data'!P22</f>
        <v>805 / 0041796499</v>
      </c>
      <c r="K53" s="25" t="str">
        <f>'Student Data'!P52</f>
        <v>843 / 0041875592</v>
      </c>
      <c r="L53" s="25" t="str">
        <f>'Student Data'!P80</f>
        <v>828 / 0042038407</v>
      </c>
      <c r="M53" s="25" t="str">
        <f>'Student Data'!P108</f>
        <v>931 / 0044318625</v>
      </c>
    </row>
    <row r="54" spans="1:13" x14ac:dyDescent="0.25">
      <c r="A54" s="28">
        <v>20</v>
      </c>
      <c r="B54" s="22" t="str">
        <f>'Student Data'!B23</f>
        <v xml:space="preserve">1007 / </v>
      </c>
      <c r="C54" s="23" t="str">
        <f>'Student Data'!B53</f>
        <v>998 / 0061235751</v>
      </c>
      <c r="D54" s="23" t="str">
        <f>'Student Data'!B81</f>
        <v>1012 / 0068457960</v>
      </c>
      <c r="E54" s="22" t="str">
        <f>'Student Data'!B109</f>
        <v>1011 / 0062951175</v>
      </c>
      <c r="F54" s="24" t="str">
        <f>'Student Data'!I23</f>
        <v>927 / 0051005964</v>
      </c>
      <c r="G54" s="24" t="str">
        <f>'Student Data'!I53</f>
        <v>926 / 0051073437</v>
      </c>
      <c r="H54" s="24" t="str">
        <f>'Student Data'!I81</f>
        <v>911 / 0050859332</v>
      </c>
      <c r="I54" s="24" t="str">
        <f>'Student Data'!I109</f>
        <v>925 / 0050874094</v>
      </c>
      <c r="J54" s="25" t="str">
        <f>'Student Data'!P23</f>
        <v>808 / 0041877712</v>
      </c>
      <c r="K54" s="25" t="str">
        <f>'Student Data'!P53</f>
        <v>845 / 0041932870</v>
      </c>
      <c r="L54" s="25" t="str">
        <f>'Student Data'!P81</f>
        <v>830 / 0043542221</v>
      </c>
      <c r="M54" s="25" t="str">
        <f>'Student Data'!P109</f>
        <v>834 / 0041810179</v>
      </c>
    </row>
    <row r="55" spans="1:13" x14ac:dyDescent="0.25">
      <c r="A55" s="28">
        <v>21</v>
      </c>
      <c r="B55" s="22" t="str">
        <f>'Student Data'!B24</f>
        <v>1009 / 0065611276</v>
      </c>
      <c r="C55" s="23" t="str">
        <f>'Student Data'!B54</f>
        <v>1000 / 0064861159</v>
      </c>
      <c r="D55" s="23" t="str">
        <f>'Student Data'!B82</f>
        <v>1013 / 0069161515</v>
      </c>
      <c r="E55" s="22" t="str">
        <f>'Student Data'!B110</f>
        <v>1019 / 0051532134</v>
      </c>
      <c r="F55" s="24">
        <f>'Student Data'!I24</f>
        <v>0</v>
      </c>
      <c r="G55" s="24">
        <f>'Student Data'!I54</f>
        <v>0</v>
      </c>
      <c r="H55" s="24">
        <f>'Student Data'!I82</f>
        <v>0</v>
      </c>
      <c r="I55" s="24">
        <f>'Student Data'!I110</f>
        <v>0</v>
      </c>
      <c r="J55" s="25" t="str">
        <f>'Student Data'!P24</f>
        <v>816 / 0041810135</v>
      </c>
      <c r="K55" s="25" t="str">
        <f>'Student Data'!P54</f>
        <v>847 / 0042018049</v>
      </c>
      <c r="L55" s="25" t="str">
        <f>'Student Data'!P82</f>
        <v>831 / 0041877991</v>
      </c>
      <c r="M55" s="25" t="str">
        <f>'Student Data'!P110</f>
        <v>836 / 0041878597</v>
      </c>
    </row>
    <row r="56" spans="1:13" x14ac:dyDescent="0.25">
      <c r="A56" s="28">
        <v>22</v>
      </c>
      <c r="B56" s="22" t="str">
        <f>'Student Data'!B25</f>
        <v>1010 / 0065536471</v>
      </c>
      <c r="C56" s="23" t="str">
        <f>'Student Data'!B55</f>
        <v>1002 / 0067224635</v>
      </c>
      <c r="D56" s="23" t="str">
        <f>'Student Data'!B83</f>
        <v>1018 / 0068178051</v>
      </c>
      <c r="E56" s="22" t="str">
        <f>'Student Data'!B111</f>
        <v>1021 / 0069734266</v>
      </c>
      <c r="F56" s="24">
        <f>'Student Data'!I25</f>
        <v>0</v>
      </c>
      <c r="G56" s="24">
        <f>'Student Data'!I55</f>
        <v>0</v>
      </c>
      <c r="H56" s="24">
        <f>'Student Data'!I83</f>
        <v>0</v>
      </c>
      <c r="I56" s="24">
        <f>'Student Data'!I111</f>
        <v>0</v>
      </c>
      <c r="J56" s="25" t="str">
        <f>'Student Data'!P25</f>
        <v>817 / 0041791548</v>
      </c>
      <c r="K56" s="25" t="str">
        <f>'Student Data'!P55</f>
        <v>848 / 0033413420</v>
      </c>
      <c r="L56" s="25" t="str">
        <f>'Student Data'!P83</f>
        <v>1031 / 0040871543</v>
      </c>
      <c r="M56" s="25" t="str">
        <f>'Student Data'!P111</f>
        <v>837 / 0041878627</v>
      </c>
    </row>
    <row r="57" spans="1:13" x14ac:dyDescent="0.25">
      <c r="A57" s="28">
        <v>23</v>
      </c>
      <c r="B57" s="22" t="str">
        <f>'Student Data'!B26</f>
        <v>1015 / 0069199785</v>
      </c>
      <c r="C57" s="23" t="str">
        <f>'Student Data'!B56</f>
        <v>1004 / 0061508307</v>
      </c>
      <c r="D57" s="23" t="str">
        <f>'Student Data'!B84</f>
        <v>1023 / 0064169314</v>
      </c>
      <c r="E57" s="22" t="str">
        <f>'Student Data'!B112</f>
        <v>1025 / 0062191186</v>
      </c>
      <c r="F57" s="24">
        <f>'Student Data'!I26</f>
        <v>0</v>
      </c>
      <c r="G57" s="24">
        <f>'Student Data'!I56</f>
        <v>0</v>
      </c>
      <c r="H57" s="24">
        <f>'Student Data'!I84</f>
        <v>0</v>
      </c>
      <c r="I57" s="24">
        <f>'Student Data'!I112</f>
        <v>0</v>
      </c>
      <c r="J57" s="25" t="str">
        <f>'Student Data'!P26</f>
        <v>832 / 0035874789</v>
      </c>
      <c r="K57" s="25" t="str">
        <f>'Student Data'!P56</f>
        <v>849 / 0035659362</v>
      </c>
      <c r="L57" s="25" t="str">
        <f>'Student Data'!P84</f>
        <v>838 / 0042050034</v>
      </c>
      <c r="M57" s="25" t="str">
        <f>'Student Data'!P112</f>
        <v>1032 / 0043810606</v>
      </c>
    </row>
    <row r="58" spans="1:13" x14ac:dyDescent="0.25">
      <c r="A58" s="28">
        <v>24</v>
      </c>
      <c r="B58" s="22" t="str">
        <f>'Student Data'!B27</f>
        <v>1016 / 0061502751</v>
      </c>
      <c r="C58" s="23" t="str">
        <f>'Student Data'!B57</f>
        <v>1014 / 0067126921</v>
      </c>
      <c r="D58" s="23" t="str">
        <f>'Student Data'!B85</f>
        <v>1024 / 0065383733</v>
      </c>
      <c r="E58" s="22" t="str">
        <f>'Student Data'!B113</f>
        <v>1029 / 0066552963</v>
      </c>
      <c r="F58" s="24">
        <f>'Student Data'!I27</f>
        <v>0</v>
      </c>
      <c r="G58" s="24">
        <f>'Student Data'!I57</f>
        <v>0</v>
      </c>
      <c r="H58" s="24">
        <f>'Student Data'!I85</f>
        <v>0</v>
      </c>
      <c r="I58" s="24">
        <f>'Student Data'!I113</f>
        <v>0</v>
      </c>
      <c r="J58" s="25" t="str">
        <f>'Student Data'!P27</f>
        <v>851 / 0047994919</v>
      </c>
      <c r="K58" s="25" t="str">
        <f>'Student Data'!P57</f>
        <v>850 / 0042370816</v>
      </c>
      <c r="L58" s="25" t="str">
        <f>'Student Data'!P85</f>
        <v>844 / 0040955182</v>
      </c>
      <c r="M58" s="25" t="str">
        <f>'Student Data'!P113</f>
        <v>841 / 0041879619</v>
      </c>
    </row>
    <row r="59" spans="1:13" x14ac:dyDescent="0.25">
      <c r="A59" s="28">
        <v>25</v>
      </c>
      <c r="B59" s="22" t="str">
        <f>'Student Data'!B28</f>
        <v>1017 / 0069388393</v>
      </c>
      <c r="C59" s="23" t="str">
        <f>'Student Data'!B58</f>
        <v>1026 / 0065276177</v>
      </c>
      <c r="D59" s="23" t="str">
        <f>'Student Data'!B86</f>
        <v>1027 / 0068538609</v>
      </c>
      <c r="E59" s="22" t="str">
        <f>'Student Data'!B114</f>
        <v>1030 / 0065702225</v>
      </c>
      <c r="F59" s="24">
        <f>'Student Data'!I28</f>
        <v>0</v>
      </c>
      <c r="G59" s="24">
        <f>'Student Data'!I58</f>
        <v>0</v>
      </c>
      <c r="H59" s="24">
        <f>'Student Data'!I86</f>
        <v>0</v>
      </c>
      <c r="I59" s="24">
        <f>'Student Data'!I114</f>
        <v>0</v>
      </c>
      <c r="J59" s="25">
        <f>'Student Data'!P28</f>
        <v>0</v>
      </c>
      <c r="K59" s="25">
        <f>'Student Data'!P58</f>
        <v>0</v>
      </c>
      <c r="L59" s="25" t="str">
        <f>'Student Data'!P86</f>
        <v>846 / 0041895536</v>
      </c>
      <c r="M59" s="25" t="str">
        <f>'Student Data'!P114</f>
        <v>842 / 0041878688</v>
      </c>
    </row>
    <row r="60" spans="1:13" x14ac:dyDescent="0.25">
      <c r="A60" s="28">
        <v>26</v>
      </c>
      <c r="B60" s="22" t="str">
        <f>'Student Data'!B29</f>
        <v>1020 / 0062288349</v>
      </c>
      <c r="C60" s="23">
        <f>'Student Data'!B59</f>
        <v>0</v>
      </c>
      <c r="D60" s="23" t="str">
        <f>'Student Data'!B87</f>
        <v>1028 / 0066935629</v>
      </c>
      <c r="E60" s="22">
        <f>'Student Data'!B115</f>
        <v>0</v>
      </c>
      <c r="F60" s="24">
        <f>'Student Data'!I29</f>
        <v>0</v>
      </c>
      <c r="G60" s="24">
        <f>'Student Data'!I59</f>
        <v>0</v>
      </c>
      <c r="H60" s="24">
        <f>'Student Data'!I87</f>
        <v>0</v>
      </c>
      <c r="I60" s="24">
        <f>'Student Data'!I115</f>
        <v>0</v>
      </c>
      <c r="J60" s="25">
        <f>'Student Data'!P29</f>
        <v>0</v>
      </c>
      <c r="K60" s="25">
        <f>'Student Data'!P59</f>
        <v>0</v>
      </c>
      <c r="L60" s="25">
        <f>'Student Data'!P87</f>
        <v>0</v>
      </c>
      <c r="M60" s="25">
        <f>'Student Data'!P115</f>
        <v>0</v>
      </c>
    </row>
    <row r="61" spans="1:13" x14ac:dyDescent="0.25">
      <c r="A61" s="28">
        <v>27</v>
      </c>
      <c r="B61" s="22" t="str">
        <f>'Student Data'!B30</f>
        <v>1022 / 0065337645</v>
      </c>
      <c r="C61" s="23">
        <f>'Student Data'!B60</f>
        <v>0</v>
      </c>
      <c r="D61" s="23">
        <f>'Student Data'!B88</f>
        <v>0</v>
      </c>
      <c r="E61" s="22">
        <f>'Student Data'!B116</f>
        <v>0</v>
      </c>
      <c r="F61" s="24">
        <f>'Student Data'!I30</f>
        <v>0</v>
      </c>
      <c r="G61" s="24">
        <f>'Student Data'!I60</f>
        <v>0</v>
      </c>
      <c r="H61" s="24">
        <f>'Student Data'!I88</f>
        <v>0</v>
      </c>
      <c r="I61" s="24">
        <f>'Student Data'!I116</f>
        <v>0</v>
      </c>
      <c r="J61" s="25">
        <f>'Student Data'!P30</f>
        <v>0</v>
      </c>
      <c r="K61" s="25">
        <f>'Student Data'!P60</f>
        <v>0</v>
      </c>
      <c r="L61" s="25">
        <f>'Student Data'!P88</f>
        <v>0</v>
      </c>
      <c r="M61" s="25">
        <f>'Student Data'!P116</f>
        <v>0</v>
      </c>
    </row>
    <row r="62" spans="1:13" x14ac:dyDescent="0.25">
      <c r="A62" s="26"/>
    </row>
    <row r="63" spans="1:13" ht="31.5" x14ac:dyDescent="0.5">
      <c r="A63" s="29" t="s">
        <v>158</v>
      </c>
      <c r="B63" s="1"/>
      <c r="C63" s="1"/>
      <c r="D63" s="1"/>
      <c r="E63" s="1"/>
      <c r="F63" s="14"/>
      <c r="G63" s="14"/>
      <c r="H63" s="14"/>
      <c r="I63" s="14"/>
      <c r="J63" s="1"/>
      <c r="K63" s="1"/>
      <c r="L63" s="1"/>
      <c r="M63" s="1"/>
    </row>
    <row r="64" spans="1:13" x14ac:dyDescent="0.25">
      <c r="A64" s="2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28">
        <v>1</v>
      </c>
      <c r="B65" s="17">
        <v>7.1</v>
      </c>
      <c r="C65" s="17">
        <v>7.2</v>
      </c>
      <c r="D65" s="17">
        <v>7.3</v>
      </c>
      <c r="E65" s="17">
        <v>7.4</v>
      </c>
      <c r="F65" s="15">
        <v>8.1</v>
      </c>
      <c r="G65" s="17">
        <v>8.1999999999999993</v>
      </c>
      <c r="H65" s="17">
        <v>8.3000000000000007</v>
      </c>
      <c r="I65" s="17">
        <v>8.4</v>
      </c>
      <c r="J65" s="16">
        <v>9.1</v>
      </c>
      <c r="K65" s="16">
        <v>9.1999999999999993</v>
      </c>
      <c r="L65" s="16">
        <v>9.3000000000000007</v>
      </c>
      <c r="M65" s="16">
        <v>9.4</v>
      </c>
    </row>
    <row r="66" spans="1:13" x14ac:dyDescent="0.25">
      <c r="A66" s="28">
        <v>2</v>
      </c>
      <c r="B66" s="22" t="str">
        <f>'Student Data'!D5</f>
        <v>Female</v>
      </c>
      <c r="C66" s="23" t="str">
        <f>'Student Data'!D35</f>
        <v>Female</v>
      </c>
      <c r="D66" s="23" t="str">
        <f>'Student Data'!D63</f>
        <v>Male</v>
      </c>
      <c r="E66" s="22" t="str">
        <f>'Student Data'!D91</f>
        <v>Male</v>
      </c>
      <c r="F66" s="24" t="str">
        <f>'Student Data'!K5</f>
        <v>Male</v>
      </c>
      <c r="G66" s="24" t="str">
        <f>'Student Data'!K35</f>
        <v>Female</v>
      </c>
      <c r="H66" s="24" t="str">
        <f>'Student Data'!K63</f>
        <v>Female</v>
      </c>
      <c r="I66" s="24" t="str">
        <f>'Student Data'!K91</f>
        <v>Male</v>
      </c>
      <c r="J66" s="25" t="str">
        <f>'Student Data'!R5</f>
        <v>Male</v>
      </c>
      <c r="K66" s="25" t="str">
        <f>'Student Data'!R35</f>
        <v>Male</v>
      </c>
      <c r="L66" s="25" t="str">
        <f>'Student Data'!R63</f>
        <v>Female</v>
      </c>
      <c r="M66" s="25" t="str">
        <f>'Student Data'!R91</f>
        <v>Female</v>
      </c>
    </row>
    <row r="67" spans="1:13" x14ac:dyDescent="0.25">
      <c r="A67" s="28">
        <v>3</v>
      </c>
      <c r="B67" s="22" t="str">
        <f>'Student Data'!D6</f>
        <v>Female</v>
      </c>
      <c r="C67" s="23" t="str">
        <f>'Student Data'!D36</f>
        <v>Male</v>
      </c>
      <c r="D67" s="23" t="str">
        <f>'Student Data'!D64</f>
        <v>Male</v>
      </c>
      <c r="E67" s="22" t="str">
        <f>'Student Data'!D92</f>
        <v>Female</v>
      </c>
      <c r="F67" s="24" t="str">
        <f>'Student Data'!K6</f>
        <v>Male</v>
      </c>
      <c r="G67" s="24" t="str">
        <f>'Student Data'!K36</f>
        <v>Male</v>
      </c>
      <c r="H67" s="24" t="str">
        <f>'Student Data'!K64</f>
        <v>Female</v>
      </c>
      <c r="I67" s="24" t="str">
        <f>'Student Data'!K92</f>
        <v>Female</v>
      </c>
      <c r="J67" s="25" t="str">
        <f>'Student Data'!R6</f>
        <v>Female</v>
      </c>
      <c r="K67" s="25" t="str">
        <f>'Student Data'!R36</f>
        <v>Female</v>
      </c>
      <c r="L67" s="25" t="str">
        <f>'Student Data'!R64</f>
        <v>Male</v>
      </c>
      <c r="M67" s="25" t="str">
        <f>'Student Data'!R92</f>
        <v>Female</v>
      </c>
    </row>
    <row r="68" spans="1:13" x14ac:dyDescent="0.25">
      <c r="A68" s="28">
        <v>4</v>
      </c>
      <c r="B68" s="22" t="str">
        <f>'Student Data'!D7</f>
        <v>Female</v>
      </c>
      <c r="C68" s="23" t="str">
        <f>'Student Data'!D37</f>
        <v>Female</v>
      </c>
      <c r="D68" s="23" t="str">
        <f>'Student Data'!D65</f>
        <v>Male</v>
      </c>
      <c r="E68" s="22" t="str">
        <f>'Student Data'!D93</f>
        <v>Female</v>
      </c>
      <c r="F68" s="24" t="str">
        <f>'Student Data'!K7</f>
        <v>Male</v>
      </c>
      <c r="G68" s="24" t="str">
        <f>'Student Data'!K37</f>
        <v>Female</v>
      </c>
      <c r="H68" s="24" t="str">
        <f>'Student Data'!K65</f>
        <v>Female</v>
      </c>
      <c r="I68" s="24" t="str">
        <f>'Student Data'!K93</f>
        <v>Female</v>
      </c>
      <c r="J68" s="25" t="str">
        <f>'Student Data'!R7</f>
        <v>Female</v>
      </c>
      <c r="K68" s="25" t="str">
        <f>'Student Data'!R37</f>
        <v>Female</v>
      </c>
      <c r="L68" s="25" t="str">
        <f>'Student Data'!R65</f>
        <v>Female</v>
      </c>
      <c r="M68" s="25" t="str">
        <f>'Student Data'!R93</f>
        <v>Female</v>
      </c>
    </row>
    <row r="69" spans="1:13" x14ac:dyDescent="0.25">
      <c r="A69" s="28">
        <v>5</v>
      </c>
      <c r="B69" s="22" t="str">
        <f>'Student Data'!D8</f>
        <v>Male</v>
      </c>
      <c r="C69" s="23" t="str">
        <f>'Student Data'!D38</f>
        <v>Female</v>
      </c>
      <c r="D69" s="23" t="str">
        <f>'Student Data'!D66</f>
        <v>Female</v>
      </c>
      <c r="E69" s="22" t="str">
        <f>'Student Data'!D94</f>
        <v>Female</v>
      </c>
      <c r="F69" s="24" t="str">
        <f>'Student Data'!K8</f>
        <v>Male</v>
      </c>
      <c r="G69" s="24" t="str">
        <f>'Student Data'!K38</f>
        <v>Male</v>
      </c>
      <c r="H69" s="24" t="str">
        <f>'Student Data'!K66</f>
        <v>Male</v>
      </c>
      <c r="I69" s="24" t="str">
        <f>'Student Data'!K94</f>
        <v>Male</v>
      </c>
      <c r="J69" s="25" t="str">
        <f>'Student Data'!R8</f>
        <v>Female</v>
      </c>
      <c r="K69" s="25" t="str">
        <f>'Student Data'!R38</f>
        <v>Male</v>
      </c>
      <c r="L69" s="25" t="str">
        <f>'Student Data'!R66</f>
        <v>Male</v>
      </c>
      <c r="M69" s="25" t="str">
        <f>'Student Data'!R94</f>
        <v>Male</v>
      </c>
    </row>
    <row r="70" spans="1:13" x14ac:dyDescent="0.25">
      <c r="A70" s="28">
        <v>6</v>
      </c>
      <c r="B70" s="22" t="str">
        <f>'Student Data'!D9</f>
        <v>Male</v>
      </c>
      <c r="C70" s="23" t="str">
        <f>'Student Data'!D39</f>
        <v>Male</v>
      </c>
      <c r="D70" s="23" t="str">
        <f>'Student Data'!D67</f>
        <v>Female</v>
      </c>
      <c r="E70" s="22" t="str">
        <f>'Student Data'!D95</f>
        <v>Female</v>
      </c>
      <c r="F70" s="24" t="str">
        <f>'Student Data'!K9</f>
        <v>Male</v>
      </c>
      <c r="G70" s="24" t="str">
        <f>'Student Data'!K39</f>
        <v>Female</v>
      </c>
      <c r="H70" s="24" t="str">
        <f>'Student Data'!K67</f>
        <v>Male</v>
      </c>
      <c r="I70" s="24" t="str">
        <f>'Student Data'!K95</f>
        <v>Male</v>
      </c>
      <c r="J70" s="25" t="str">
        <f>'Student Data'!R9</f>
        <v>Male</v>
      </c>
      <c r="K70" s="25" t="str">
        <f>'Student Data'!R39</f>
        <v>Female</v>
      </c>
      <c r="L70" s="25" t="str">
        <f>'Student Data'!R67</f>
        <v>Male</v>
      </c>
      <c r="M70" s="25" t="str">
        <f>'Student Data'!R95</f>
        <v>Male</v>
      </c>
    </row>
    <row r="71" spans="1:13" x14ac:dyDescent="0.25">
      <c r="A71" s="28">
        <v>7</v>
      </c>
      <c r="B71" s="22" t="str">
        <f>'Student Data'!D10</f>
        <v>Female</v>
      </c>
      <c r="C71" s="23" t="str">
        <f>'Student Data'!D40</f>
        <v>Female</v>
      </c>
      <c r="D71" s="23" t="str">
        <f>'Student Data'!D68</f>
        <v>Female</v>
      </c>
      <c r="E71" s="22" t="str">
        <f>'Student Data'!D96</f>
        <v>Male</v>
      </c>
      <c r="F71" s="24" t="str">
        <f>'Student Data'!K10</f>
        <v>Female</v>
      </c>
      <c r="G71" s="24" t="str">
        <f>'Student Data'!K40</f>
        <v>Female</v>
      </c>
      <c r="H71" s="24" t="str">
        <f>'Student Data'!K68</f>
        <v>Male</v>
      </c>
      <c r="I71" s="24" t="str">
        <f>'Student Data'!K96</f>
        <v>Male</v>
      </c>
      <c r="J71" s="25" t="str">
        <f>'Student Data'!R10</f>
        <v>Male</v>
      </c>
      <c r="K71" s="25" t="str">
        <f>'Student Data'!R40</f>
        <v>Male</v>
      </c>
      <c r="L71" s="25" t="str">
        <f>'Student Data'!R68</f>
        <v>Female</v>
      </c>
      <c r="M71" s="25" t="str">
        <f>'Student Data'!R96</f>
        <v>Female</v>
      </c>
    </row>
    <row r="72" spans="1:13" x14ac:dyDescent="0.25">
      <c r="A72" s="28">
        <v>8</v>
      </c>
      <c r="B72" s="22" t="str">
        <f>'Student Data'!D11</f>
        <v>Female</v>
      </c>
      <c r="C72" s="23" t="str">
        <f>'Student Data'!D41</f>
        <v>Male</v>
      </c>
      <c r="D72" s="23" t="str">
        <f>'Student Data'!D69</f>
        <v>Male</v>
      </c>
      <c r="E72" s="22" t="str">
        <f>'Student Data'!D97</f>
        <v>Male</v>
      </c>
      <c r="F72" s="24" t="str">
        <f>'Student Data'!K11</f>
        <v>Male</v>
      </c>
      <c r="G72" s="24" t="str">
        <f>'Student Data'!K41</f>
        <v>Male</v>
      </c>
      <c r="H72" s="24" t="str">
        <f>'Student Data'!K69</f>
        <v>Male</v>
      </c>
      <c r="I72" s="24" t="str">
        <f>'Student Data'!K97</f>
        <v>Male</v>
      </c>
      <c r="J72" s="25" t="str">
        <f>'Student Data'!R11</f>
        <v>Male</v>
      </c>
      <c r="K72" s="25" t="str">
        <f>'Student Data'!R41</f>
        <v>Female</v>
      </c>
      <c r="L72" s="25" t="str">
        <f>'Student Data'!R69</f>
        <v>Female</v>
      </c>
      <c r="M72" s="25" t="str">
        <f>'Student Data'!R97</f>
        <v>Female</v>
      </c>
    </row>
    <row r="73" spans="1:13" x14ac:dyDescent="0.25">
      <c r="A73" s="28">
        <v>9</v>
      </c>
      <c r="B73" s="22" t="str">
        <f>'Student Data'!D12</f>
        <v>Female</v>
      </c>
      <c r="C73" s="23" t="str">
        <f>'Student Data'!D42</f>
        <v>Male</v>
      </c>
      <c r="D73" s="23" t="str">
        <f>'Student Data'!D70</f>
        <v>Female</v>
      </c>
      <c r="E73" s="22" t="str">
        <f>'Student Data'!D98</f>
        <v>Male</v>
      </c>
      <c r="F73" s="24" t="str">
        <f>'Student Data'!K12</f>
        <v>Female</v>
      </c>
      <c r="G73" s="24" t="str">
        <f>'Student Data'!K42</f>
        <v>Male</v>
      </c>
      <c r="H73" s="24" t="str">
        <f>'Student Data'!K70</f>
        <v>Female</v>
      </c>
      <c r="I73" s="24" t="str">
        <f>'Student Data'!K98</f>
        <v>Female</v>
      </c>
      <c r="J73" s="25" t="str">
        <f>'Student Data'!R12</f>
        <v>Female</v>
      </c>
      <c r="K73" s="25" t="str">
        <f>'Student Data'!R42</f>
        <v>Male</v>
      </c>
      <c r="L73" s="25" t="str">
        <f>'Student Data'!R70</f>
        <v>Female</v>
      </c>
      <c r="M73" s="25" t="str">
        <f>'Student Data'!R98</f>
        <v>Female</v>
      </c>
    </row>
    <row r="74" spans="1:13" x14ac:dyDescent="0.25">
      <c r="A74" s="28">
        <v>10</v>
      </c>
      <c r="B74" s="22" t="str">
        <f>'Student Data'!D13</f>
        <v>Female</v>
      </c>
      <c r="C74" s="23" t="str">
        <f>'Student Data'!D43</f>
        <v>Female</v>
      </c>
      <c r="D74" s="23" t="str">
        <f>'Student Data'!D71</f>
        <v>Male</v>
      </c>
      <c r="E74" s="22" t="str">
        <f>'Student Data'!D99</f>
        <v>Female</v>
      </c>
      <c r="F74" s="24" t="str">
        <f>'Student Data'!K13</f>
        <v>Male</v>
      </c>
      <c r="G74" s="24" t="str">
        <f>'Student Data'!K43</f>
        <v>Male</v>
      </c>
      <c r="H74" s="24" t="str">
        <f>'Student Data'!K71</f>
        <v>Male</v>
      </c>
      <c r="I74" s="24" t="str">
        <f>'Student Data'!K99</f>
        <v>Male</v>
      </c>
      <c r="J74" s="25" t="str">
        <f>'Student Data'!R13</f>
        <v>Male</v>
      </c>
      <c r="K74" s="25" t="str">
        <f>'Student Data'!R43</f>
        <v>Male</v>
      </c>
      <c r="L74" s="25" t="str">
        <f>'Student Data'!R71</f>
        <v>Male</v>
      </c>
      <c r="M74" s="25" t="str">
        <f>'Student Data'!R99</f>
        <v>Male</v>
      </c>
    </row>
    <row r="75" spans="1:13" x14ac:dyDescent="0.25">
      <c r="A75" s="28">
        <v>11</v>
      </c>
      <c r="B75" s="22" t="str">
        <f>'Student Data'!D14</f>
        <v>Female</v>
      </c>
      <c r="C75" s="23" t="str">
        <f>'Student Data'!D44</f>
        <v>Female</v>
      </c>
      <c r="D75" s="23" t="str">
        <f>'Student Data'!D72</f>
        <v>Male</v>
      </c>
      <c r="E75" s="22" t="str">
        <f>'Student Data'!D100</f>
        <v>Male</v>
      </c>
      <c r="F75" s="24" t="str">
        <f>'Student Data'!K14</f>
        <v>Female</v>
      </c>
      <c r="G75" s="24" t="str">
        <f>'Student Data'!K44</f>
        <v>Male</v>
      </c>
      <c r="H75" s="24" t="str">
        <f>'Student Data'!K72</f>
        <v>Male</v>
      </c>
      <c r="I75" s="24" t="str">
        <f>'Student Data'!K100</f>
        <v>Female</v>
      </c>
      <c r="J75" s="25" t="str">
        <f>'Student Data'!R14</f>
        <v>Male</v>
      </c>
      <c r="K75" s="25" t="str">
        <f>'Student Data'!R44</f>
        <v>Female</v>
      </c>
      <c r="L75" s="25" t="str">
        <f>'Student Data'!R72</f>
        <v>Female</v>
      </c>
      <c r="M75" s="25" t="str">
        <f>'Student Data'!R100</f>
        <v>Male</v>
      </c>
    </row>
    <row r="76" spans="1:13" x14ac:dyDescent="0.25">
      <c r="A76" s="28">
        <v>12</v>
      </c>
      <c r="B76" s="22" t="str">
        <f>'Student Data'!D15</f>
        <v>Male</v>
      </c>
      <c r="C76" s="23" t="str">
        <f>'Student Data'!D45</f>
        <v>Female</v>
      </c>
      <c r="D76" s="23" t="str">
        <f>'Student Data'!D73</f>
        <v>Male</v>
      </c>
      <c r="E76" s="22" t="str">
        <f>'Student Data'!D101</f>
        <v>Female</v>
      </c>
      <c r="F76" s="24" t="str">
        <f>'Student Data'!K15</f>
        <v>Female</v>
      </c>
      <c r="G76" s="24" t="str">
        <f>'Student Data'!K45</f>
        <v>Female</v>
      </c>
      <c r="H76" s="24" t="str">
        <f>'Student Data'!K73</f>
        <v>Male</v>
      </c>
      <c r="I76" s="24" t="str">
        <f>'Student Data'!K101</f>
        <v>Female</v>
      </c>
      <c r="J76" s="25" t="str">
        <f>'Student Data'!R15</f>
        <v>Male</v>
      </c>
      <c r="K76" s="25" t="str">
        <f>'Student Data'!R45</f>
        <v>Female</v>
      </c>
      <c r="L76" s="25" t="str">
        <f>'Student Data'!R73</f>
        <v>Male</v>
      </c>
      <c r="M76" s="25" t="str">
        <f>'Student Data'!R101</f>
        <v>Female</v>
      </c>
    </row>
    <row r="77" spans="1:13" x14ac:dyDescent="0.25">
      <c r="A77" s="28">
        <v>13</v>
      </c>
      <c r="B77" s="22" t="str">
        <f>'Student Data'!D16</f>
        <v>Male</v>
      </c>
      <c r="C77" s="23" t="str">
        <f>'Student Data'!D46</f>
        <v>Male</v>
      </c>
      <c r="D77" s="23" t="str">
        <f>'Student Data'!D74</f>
        <v>Female</v>
      </c>
      <c r="E77" s="22" t="str">
        <f>'Student Data'!D102</f>
        <v>Female</v>
      </c>
      <c r="F77" s="24" t="str">
        <f>'Student Data'!K16</f>
        <v>Male</v>
      </c>
      <c r="G77" s="24" t="str">
        <f>'Student Data'!K46</f>
        <v>Male</v>
      </c>
      <c r="H77" s="24" t="str">
        <f>'Student Data'!K74</f>
        <v>Female</v>
      </c>
      <c r="I77" s="24" t="str">
        <f>'Student Data'!K102</f>
        <v>Male</v>
      </c>
      <c r="J77" s="25" t="str">
        <f>'Student Data'!R16</f>
        <v>Male</v>
      </c>
      <c r="K77" s="25" t="e">
        <f>'Student Data'!#REF!</f>
        <v>#REF!</v>
      </c>
      <c r="L77" s="25" t="str">
        <f>'Student Data'!R74</f>
        <v>Female</v>
      </c>
      <c r="M77" s="25" t="str">
        <f>'Student Data'!R102</f>
        <v>Female</v>
      </c>
    </row>
    <row r="78" spans="1:13" x14ac:dyDescent="0.25">
      <c r="A78" s="28">
        <v>14</v>
      </c>
      <c r="B78" s="22" t="str">
        <f>'Student Data'!D17</f>
        <v>Male</v>
      </c>
      <c r="C78" s="23" t="str">
        <f>'Student Data'!D47</f>
        <v>Male</v>
      </c>
      <c r="D78" s="23" t="str">
        <f>'Student Data'!D75</f>
        <v>Male</v>
      </c>
      <c r="E78" s="22" t="str">
        <f>'Student Data'!D103</f>
        <v>Female</v>
      </c>
      <c r="F78" s="24" t="str">
        <f>'Student Data'!K17</f>
        <v>Female</v>
      </c>
      <c r="G78" s="24" t="str">
        <f>'Student Data'!K47</f>
        <v>Female</v>
      </c>
      <c r="H78" s="24" t="str">
        <f>'Student Data'!K75</f>
        <v>Male</v>
      </c>
      <c r="I78" s="24" t="str">
        <f>'Student Data'!K103</f>
        <v>Male</v>
      </c>
      <c r="J78" s="25" t="str">
        <f>'Student Data'!R17</f>
        <v>Male</v>
      </c>
      <c r="K78" s="25" t="str">
        <f>'Student Data'!R47</f>
        <v>Male</v>
      </c>
      <c r="L78" s="25" t="str">
        <f>'Student Data'!R75</f>
        <v>Male</v>
      </c>
      <c r="M78" s="25" t="str">
        <f>'Student Data'!R103</f>
        <v>Male</v>
      </c>
    </row>
    <row r="79" spans="1:13" x14ac:dyDescent="0.25">
      <c r="A79" s="28">
        <v>15</v>
      </c>
      <c r="B79" s="22" t="str">
        <f>'Student Data'!D18</f>
        <v>Male</v>
      </c>
      <c r="C79" s="23" t="str">
        <f>'Student Data'!D48</f>
        <v>Female</v>
      </c>
      <c r="D79" s="23" t="str">
        <f>'Student Data'!D76</f>
        <v>Female</v>
      </c>
      <c r="E79" s="22" t="str">
        <f>'Student Data'!D104</f>
        <v>Female</v>
      </c>
      <c r="F79" s="24" t="str">
        <f>'Student Data'!K18</f>
        <v>Male</v>
      </c>
      <c r="G79" s="24" t="str">
        <f>'Student Data'!K48</f>
        <v>Male</v>
      </c>
      <c r="H79" s="24" t="str">
        <f>'Student Data'!K76</f>
        <v>Male</v>
      </c>
      <c r="I79" s="24" t="str">
        <f>'Student Data'!K104</f>
        <v>Male</v>
      </c>
      <c r="J79" s="25" t="str">
        <f>'Student Data'!R18</f>
        <v>Female</v>
      </c>
      <c r="K79" s="25" t="str">
        <f>'Student Data'!R48</f>
        <v>Male</v>
      </c>
      <c r="L79" s="25" t="str">
        <f>'Student Data'!R76</f>
        <v>Female</v>
      </c>
      <c r="M79" s="25" t="str">
        <f>'Student Data'!R104</f>
        <v>Male</v>
      </c>
    </row>
    <row r="80" spans="1:13" x14ac:dyDescent="0.25">
      <c r="A80" s="28">
        <v>16</v>
      </c>
      <c r="B80" s="22" t="str">
        <f>'Student Data'!D19</f>
        <v>Male</v>
      </c>
      <c r="C80" s="23" t="str">
        <f>'Student Data'!D49</f>
        <v>Female</v>
      </c>
      <c r="D80" s="23" t="str">
        <f>'Student Data'!D77</f>
        <v>Male</v>
      </c>
      <c r="E80" s="22" t="str">
        <f>'Student Data'!D105</f>
        <v>Female</v>
      </c>
      <c r="F80" s="24" t="str">
        <f>'Student Data'!K19</f>
        <v>Female</v>
      </c>
      <c r="G80" s="24" t="str">
        <f>'Student Data'!K49</f>
        <v>Male</v>
      </c>
      <c r="H80" s="24" t="str">
        <f>'Student Data'!K77</f>
        <v>Male</v>
      </c>
      <c r="I80" s="24" t="str">
        <f>'Student Data'!K105</f>
        <v>Male</v>
      </c>
      <c r="J80" s="25" t="str">
        <f>'Student Data'!R19</f>
        <v>Female</v>
      </c>
      <c r="K80" s="25" t="str">
        <f>'Student Data'!R49</f>
        <v>Female</v>
      </c>
      <c r="L80" s="25" t="str">
        <f>'Student Data'!R77</f>
        <v>Male</v>
      </c>
      <c r="M80" s="25" t="str">
        <f>'Student Data'!R105</f>
        <v>Female</v>
      </c>
    </row>
    <row r="81" spans="1:13" x14ac:dyDescent="0.25">
      <c r="A81" s="28">
        <v>17</v>
      </c>
      <c r="B81" s="22" t="str">
        <f>'Student Data'!D20</f>
        <v>Female</v>
      </c>
      <c r="C81" s="23" t="str">
        <f>'Student Data'!D50</f>
        <v>Male</v>
      </c>
      <c r="D81" s="23" t="str">
        <f>'Student Data'!D78</f>
        <v>Female</v>
      </c>
      <c r="E81" s="22" t="str">
        <f>'Student Data'!D106</f>
        <v>Female</v>
      </c>
      <c r="F81" s="24" t="str">
        <f>'Student Data'!K20</f>
        <v>Female</v>
      </c>
      <c r="G81" s="24" t="str">
        <f>'Student Data'!K50</f>
        <v>Male</v>
      </c>
      <c r="H81" s="24" t="str">
        <f>'Student Data'!K78</f>
        <v>Female</v>
      </c>
      <c r="I81" s="24" t="str">
        <f>'Student Data'!K106</f>
        <v>Male</v>
      </c>
      <c r="J81" s="25" t="str">
        <f>'Student Data'!R20</f>
        <v>Female</v>
      </c>
      <c r="K81" s="25" t="str">
        <f>'Student Data'!R50</f>
        <v>Female</v>
      </c>
      <c r="L81" s="25" t="str">
        <f>'Student Data'!R78</f>
        <v>Male</v>
      </c>
      <c r="M81" s="25" t="str">
        <f>'Student Data'!R106</f>
        <v>Male</v>
      </c>
    </row>
    <row r="82" spans="1:13" x14ac:dyDescent="0.25">
      <c r="A82" s="28">
        <v>18</v>
      </c>
      <c r="B82" s="22" t="str">
        <f>'Student Data'!D21</f>
        <v>Male</v>
      </c>
      <c r="C82" s="23" t="str">
        <f>'Student Data'!D51</f>
        <v>Male</v>
      </c>
      <c r="D82" s="23" t="str">
        <f>'Student Data'!D79</f>
        <v>Female</v>
      </c>
      <c r="E82" s="22" t="str">
        <f>'Student Data'!D107</f>
        <v>Female</v>
      </c>
      <c r="F82" s="24" t="str">
        <f>'Student Data'!K21</f>
        <v>Male</v>
      </c>
      <c r="G82" s="24" t="str">
        <f>'Student Data'!K51</f>
        <v>Male</v>
      </c>
      <c r="H82" s="24" t="str">
        <f>'Student Data'!K79</f>
        <v>Female</v>
      </c>
      <c r="I82" s="24" t="str">
        <f>'Student Data'!R46</f>
        <v>Male</v>
      </c>
      <c r="J82" s="25" t="str">
        <f>'Student Data'!R21</f>
        <v>Female</v>
      </c>
      <c r="K82" s="25" t="str">
        <f>'Student Data'!R51</f>
        <v>Female</v>
      </c>
      <c r="L82" s="25" t="str">
        <f>'Student Data'!R79</f>
        <v>Female</v>
      </c>
      <c r="M82" s="25" t="str">
        <f>'Student Data'!R107</f>
        <v>Female</v>
      </c>
    </row>
    <row r="83" spans="1:13" x14ac:dyDescent="0.25">
      <c r="A83" s="28">
        <v>19</v>
      </c>
      <c r="B83" s="22" t="str">
        <f>'Student Data'!D22</f>
        <v>Female</v>
      </c>
      <c r="C83" s="23" t="str">
        <f>'Student Data'!D52</f>
        <v>Female</v>
      </c>
      <c r="D83" s="23" t="str">
        <f>'Student Data'!D80</f>
        <v>Female</v>
      </c>
      <c r="E83" s="22" t="str">
        <f>'Student Data'!D108</f>
        <v>Male</v>
      </c>
      <c r="F83" s="24" t="str">
        <f>'Student Data'!K22</f>
        <v>Female</v>
      </c>
      <c r="G83" s="24" t="str">
        <f>'Student Data'!K52</f>
        <v>Female</v>
      </c>
      <c r="H83" s="24" t="str">
        <f>'Student Data'!K80</f>
        <v>Female</v>
      </c>
      <c r="I83" s="24" t="str">
        <f>'Student Data'!K108</f>
        <v>Female</v>
      </c>
      <c r="J83" s="25" t="str">
        <f>'Student Data'!R22</f>
        <v>Male</v>
      </c>
      <c r="K83" s="25" t="str">
        <f>'Student Data'!R52</f>
        <v>Male</v>
      </c>
      <c r="L83" s="25" t="str">
        <f>'Student Data'!R80</f>
        <v>Male</v>
      </c>
      <c r="M83" s="25" t="str">
        <f>'Student Data'!R108</f>
        <v>Male</v>
      </c>
    </row>
    <row r="84" spans="1:13" x14ac:dyDescent="0.25">
      <c r="A84" s="28">
        <v>20</v>
      </c>
      <c r="B84" s="22" t="str">
        <f>'Student Data'!D23</f>
        <v>Male</v>
      </c>
      <c r="C84" s="23" t="str">
        <f>'Student Data'!D53</f>
        <v>Female</v>
      </c>
      <c r="D84" s="23" t="str">
        <f>'Student Data'!D81</f>
        <v>Male</v>
      </c>
      <c r="E84" s="22" t="str">
        <f>'Student Data'!D109</f>
        <v>Male</v>
      </c>
      <c r="F84" s="24" t="str">
        <f>'Student Data'!K23</f>
        <v>Male</v>
      </c>
      <c r="G84" s="24" t="str">
        <f>'Student Data'!K53</f>
        <v>Female</v>
      </c>
      <c r="H84" s="24" t="str">
        <f>'Student Data'!K81</f>
        <v>Male</v>
      </c>
      <c r="I84" s="24" t="str">
        <f>'Student Data'!K109</f>
        <v>Female</v>
      </c>
      <c r="J84" s="25" t="str">
        <f>'Student Data'!R23</f>
        <v>Female</v>
      </c>
      <c r="K84" s="25" t="str">
        <f>'Student Data'!R53</f>
        <v>Female</v>
      </c>
      <c r="L84" s="25" t="str">
        <f>'Student Data'!R81</f>
        <v>Male</v>
      </c>
      <c r="M84" s="25" t="str">
        <f>'Student Data'!R109</f>
        <v>Male</v>
      </c>
    </row>
    <row r="85" spans="1:13" x14ac:dyDescent="0.25">
      <c r="A85" s="28">
        <v>21</v>
      </c>
      <c r="B85" s="22" t="str">
        <f>'Student Data'!D24</f>
        <v>Female</v>
      </c>
      <c r="C85" s="23" t="str">
        <f>'Student Data'!D54</f>
        <v>Female</v>
      </c>
      <c r="D85" s="23" t="str">
        <f>'Student Data'!D82</f>
        <v>Male</v>
      </c>
      <c r="E85" s="22" t="str">
        <f>'Student Data'!D110</f>
        <v>Female</v>
      </c>
      <c r="F85" s="24">
        <f>'Student Data'!K24</f>
        <v>0</v>
      </c>
      <c r="G85" s="24">
        <f>'Student Data'!K54</f>
        <v>0</v>
      </c>
      <c r="H85" s="24">
        <f>'Student Data'!K82</f>
        <v>0</v>
      </c>
      <c r="I85" s="24">
        <f>'Student Data'!K110</f>
        <v>0</v>
      </c>
      <c r="J85" s="25" t="str">
        <f>'Student Data'!R24</f>
        <v>Female</v>
      </c>
      <c r="K85" s="25" t="str">
        <f>'Student Data'!R54</f>
        <v>Female</v>
      </c>
      <c r="L85" s="25" t="str">
        <f>'Student Data'!R82</f>
        <v>Female</v>
      </c>
      <c r="M85" s="25" t="str">
        <f>'Student Data'!R110</f>
        <v>Male</v>
      </c>
    </row>
    <row r="86" spans="1:13" x14ac:dyDescent="0.25">
      <c r="A86" s="28">
        <v>22</v>
      </c>
      <c r="B86" s="22" t="str">
        <f>'Student Data'!D25</f>
        <v>Female</v>
      </c>
      <c r="C86" s="23" t="str">
        <f>'Student Data'!D55</f>
        <v>Female</v>
      </c>
      <c r="D86" s="23" t="str">
        <f>'Student Data'!D83</f>
        <v>Female</v>
      </c>
      <c r="E86" s="22" t="str">
        <f>'Student Data'!D111</f>
        <v>Female</v>
      </c>
      <c r="F86" s="24">
        <f>'Student Data'!K25</f>
        <v>0</v>
      </c>
      <c r="G86" s="24">
        <f>'Student Data'!K55</f>
        <v>0</v>
      </c>
      <c r="H86" s="24">
        <f>'Student Data'!K83</f>
        <v>0</v>
      </c>
      <c r="I86" s="24">
        <f>'Student Data'!K111</f>
        <v>0</v>
      </c>
      <c r="J86" s="25" t="str">
        <f>'Student Data'!R25</f>
        <v>Male</v>
      </c>
      <c r="K86" s="25" t="str">
        <f>'Student Data'!R55</f>
        <v>Male</v>
      </c>
      <c r="L86" s="25" t="str">
        <f>'Student Data'!R83</f>
        <v>Female</v>
      </c>
      <c r="M86" s="25" t="str">
        <f>'Student Data'!R111</f>
        <v>Male</v>
      </c>
    </row>
    <row r="87" spans="1:13" x14ac:dyDescent="0.25">
      <c r="A87" s="28">
        <v>23</v>
      </c>
      <c r="B87" s="22" t="str">
        <f>'Student Data'!D26</f>
        <v>Male</v>
      </c>
      <c r="C87" s="23" t="str">
        <f>'Student Data'!D56</f>
        <v>Female</v>
      </c>
      <c r="D87" s="23" t="str">
        <f>'Student Data'!D84</f>
        <v>Female</v>
      </c>
      <c r="E87" s="22" t="str">
        <f>'Student Data'!D112</f>
        <v>Male</v>
      </c>
      <c r="F87" s="24">
        <f>'Student Data'!K26</f>
        <v>0</v>
      </c>
      <c r="G87" s="24">
        <f>'Student Data'!K56</f>
        <v>0</v>
      </c>
      <c r="H87" s="24">
        <f>'Student Data'!K84</f>
        <v>0</v>
      </c>
      <c r="I87" s="24">
        <f>'Student Data'!K112</f>
        <v>0</v>
      </c>
      <c r="J87" s="25" t="str">
        <f>'Student Data'!R26</f>
        <v>Female</v>
      </c>
      <c r="K87" s="25" t="str">
        <f>'Student Data'!R56</f>
        <v>Male</v>
      </c>
      <c r="L87" s="25" t="str">
        <f>'Student Data'!R84</f>
        <v>Female</v>
      </c>
      <c r="M87" s="25" t="str">
        <f>'Student Data'!R112</f>
        <v>Female</v>
      </c>
    </row>
    <row r="88" spans="1:13" x14ac:dyDescent="0.25">
      <c r="A88" s="28">
        <v>24</v>
      </c>
      <c r="B88" s="22" t="str">
        <f>'Student Data'!D27</f>
        <v>Male</v>
      </c>
      <c r="C88" s="23" t="str">
        <f>'Student Data'!D57</f>
        <v>Male</v>
      </c>
      <c r="D88" s="23" t="str">
        <f>'Student Data'!D85</f>
        <v>Female</v>
      </c>
      <c r="E88" s="22" t="str">
        <f>'Student Data'!D113</f>
        <v>Female</v>
      </c>
      <c r="F88" s="24">
        <f>'Student Data'!K27</f>
        <v>0</v>
      </c>
      <c r="G88" s="24">
        <f>'Student Data'!K57</f>
        <v>0</v>
      </c>
      <c r="H88" s="24">
        <f>'Student Data'!K85</f>
        <v>0</v>
      </c>
      <c r="I88" s="24">
        <f>'Student Data'!K113</f>
        <v>0</v>
      </c>
      <c r="J88" s="25" t="str">
        <f>'Student Data'!R27</f>
        <v>Male</v>
      </c>
      <c r="K88" s="25" t="str">
        <f>'Student Data'!R57</f>
        <v>Male</v>
      </c>
      <c r="L88" s="25" t="str">
        <f>'Student Data'!R85</f>
        <v>Male</v>
      </c>
      <c r="M88" s="25" t="str">
        <f>'Student Data'!R113</f>
        <v>Male</v>
      </c>
    </row>
    <row r="89" spans="1:13" x14ac:dyDescent="0.25">
      <c r="A89" s="30">
        <v>25</v>
      </c>
      <c r="B89" s="22" t="str">
        <f>'Student Data'!D28</f>
        <v>Male</v>
      </c>
      <c r="C89" s="23" t="str">
        <f>'Student Data'!D58</f>
        <v>Female</v>
      </c>
      <c r="D89" s="23" t="str">
        <f>'Student Data'!D86</f>
        <v>Female</v>
      </c>
      <c r="E89" s="22" t="str">
        <f>'Student Data'!D114</f>
        <v>Female</v>
      </c>
      <c r="F89" s="24">
        <f>'Student Data'!K28</f>
        <v>0</v>
      </c>
      <c r="G89" s="24">
        <f>'Student Data'!K58</f>
        <v>0</v>
      </c>
      <c r="H89" s="24">
        <f>'Student Data'!K86</f>
        <v>0</v>
      </c>
      <c r="I89" s="24">
        <f>'Student Data'!K114</f>
        <v>0</v>
      </c>
      <c r="J89" s="25">
        <f>'Student Data'!R28</f>
        <v>0</v>
      </c>
      <c r="K89" s="25">
        <f>'Student Data'!R58</f>
        <v>0</v>
      </c>
      <c r="L89" s="25" t="str">
        <f>'Student Data'!R86</f>
        <v>Female</v>
      </c>
      <c r="M89" s="25" t="str">
        <f>'Student Data'!R114</f>
        <v>Male</v>
      </c>
    </row>
    <row r="90" spans="1:13" x14ac:dyDescent="0.25">
      <c r="A90" s="30">
        <v>26</v>
      </c>
      <c r="B90" s="22" t="str">
        <f>'Student Data'!D29</f>
        <v>Female</v>
      </c>
      <c r="C90" s="23">
        <f>'Student Data'!D59</f>
        <v>0</v>
      </c>
      <c r="D90" s="23" t="str">
        <f>'Student Data'!D87</f>
        <v>Female</v>
      </c>
      <c r="E90" s="22">
        <f>'Student Data'!D115</f>
        <v>0</v>
      </c>
      <c r="F90" s="24">
        <f>'Student Data'!K29</f>
        <v>0</v>
      </c>
      <c r="G90" s="24">
        <f>'Student Data'!K59</f>
        <v>0</v>
      </c>
      <c r="H90" s="24">
        <f>'Student Data'!K87</f>
        <v>0</v>
      </c>
      <c r="I90" s="24">
        <f>'Student Data'!K115</f>
        <v>0</v>
      </c>
      <c r="J90" s="25">
        <f>'Student Data'!R29</f>
        <v>0</v>
      </c>
      <c r="K90" s="25">
        <f>'Student Data'!R59</f>
        <v>0</v>
      </c>
      <c r="L90" s="25">
        <f>'Student Data'!R87</f>
        <v>0</v>
      </c>
      <c r="M90" s="25">
        <f>'Student Data'!R115</f>
        <v>0</v>
      </c>
    </row>
    <row r="91" spans="1:13" x14ac:dyDescent="0.25">
      <c r="A91" s="30">
        <v>27</v>
      </c>
      <c r="B91" s="22" t="str">
        <f>'Student Data'!D30</f>
        <v>Female</v>
      </c>
      <c r="C91" s="23">
        <f>'Student Data'!D60</f>
        <v>0</v>
      </c>
      <c r="D91" s="23">
        <f>'Student Data'!D88</f>
        <v>0</v>
      </c>
      <c r="E91" s="22">
        <f>'Student Data'!D116</f>
        <v>0</v>
      </c>
      <c r="F91" s="24">
        <f>'Student Data'!K30</f>
        <v>0</v>
      </c>
      <c r="G91" s="24">
        <f>'Student Data'!K60</f>
        <v>0</v>
      </c>
      <c r="H91" s="24">
        <f>'Student Data'!K88</f>
        <v>0</v>
      </c>
      <c r="I91" s="24">
        <f>'Student Data'!K116</f>
        <v>0</v>
      </c>
      <c r="J91" s="25">
        <f>'Student Data'!R30</f>
        <v>0</v>
      </c>
      <c r="K91" s="25">
        <f>'Student Data'!R60</f>
        <v>0</v>
      </c>
      <c r="L91" s="25">
        <f>'Student Data'!R88</f>
        <v>0</v>
      </c>
      <c r="M91" s="25">
        <f>'Student Data'!R116</f>
        <v>0</v>
      </c>
    </row>
    <row r="92" spans="1:13" x14ac:dyDescent="0.25">
      <c r="A92" s="26"/>
    </row>
    <row r="93" spans="1:13" ht="31.5" x14ac:dyDescent="0.5">
      <c r="A93" s="29" t="s">
        <v>159</v>
      </c>
      <c r="B93" s="1"/>
      <c r="C93" s="1"/>
      <c r="D93" s="1"/>
      <c r="E93" s="1"/>
      <c r="F93" s="14"/>
      <c r="G93" s="14"/>
      <c r="H93" s="14"/>
      <c r="I93" s="14"/>
      <c r="J93" s="1"/>
      <c r="K93" s="1"/>
      <c r="L93" s="1"/>
      <c r="M93" s="1"/>
    </row>
    <row r="94" spans="1:13" x14ac:dyDescent="0.25">
      <c r="A94" s="2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28">
        <v>1</v>
      </c>
      <c r="B95" s="17">
        <v>7.1</v>
      </c>
      <c r="C95" s="17">
        <v>7.2</v>
      </c>
      <c r="D95" s="17">
        <v>7.3</v>
      </c>
      <c r="E95" s="17">
        <v>7.4</v>
      </c>
      <c r="F95" s="15">
        <v>8.1</v>
      </c>
      <c r="G95" s="17">
        <v>8.1999999999999993</v>
      </c>
      <c r="H95" s="17">
        <v>8.3000000000000007</v>
      </c>
      <c r="I95" s="17">
        <v>8.4</v>
      </c>
      <c r="J95" s="16">
        <v>9.1</v>
      </c>
      <c r="K95" s="16">
        <v>9.1999999999999993</v>
      </c>
      <c r="L95" s="16">
        <v>9.3000000000000007</v>
      </c>
      <c r="M95" s="16">
        <v>9.4</v>
      </c>
    </row>
    <row r="96" spans="1:13" x14ac:dyDescent="0.25">
      <c r="A96" s="28">
        <v>2</v>
      </c>
      <c r="B96" s="22" t="str">
        <f>'Student Data'!E5</f>
        <v>10 April 2006</v>
      </c>
      <c r="C96" s="23" t="str">
        <f>'Student Data'!E35</f>
        <v>30 September 2006</v>
      </c>
      <c r="D96" s="23" t="str">
        <f>'Student Data'!E63</f>
        <v>21 May 2006</v>
      </c>
      <c r="E96" s="22" t="str">
        <f>'Student Data'!E91</f>
        <v>31 March 2006</v>
      </c>
      <c r="F96" s="24" t="str">
        <f>'Student Data'!L5</f>
        <v>16 September 2005</v>
      </c>
      <c r="G96" s="24" t="str">
        <f>'Student Data'!L35</f>
        <v>10 April 2005</v>
      </c>
      <c r="H96" s="24" t="str">
        <f>'Student Data'!L63</f>
        <v>27 April 2005</v>
      </c>
      <c r="I96" s="24" t="str">
        <f>'Student Data'!L91</f>
        <v>3 June 2005</v>
      </c>
      <c r="J96" s="25" t="str">
        <f>'Student Data'!S5</f>
        <v>15 July 2004</v>
      </c>
      <c r="K96" s="25" t="str">
        <f>'Student Data'!S35</f>
        <v>9 April 2004</v>
      </c>
      <c r="L96" s="25" t="str">
        <f>'Student Data'!S63</f>
        <v>11 April 2004</v>
      </c>
      <c r="M96" s="25" t="str">
        <f>'Student Data'!S91</f>
        <v>15 April 2004</v>
      </c>
    </row>
    <row r="97" spans="1:13" x14ac:dyDescent="0.25">
      <c r="A97" s="28">
        <v>3</v>
      </c>
      <c r="B97" s="22" t="str">
        <f>'Student Data'!E6</f>
        <v>9 November 2006</v>
      </c>
      <c r="C97" s="23" t="str">
        <f>'Student Data'!E36</f>
        <v>22 April 2006</v>
      </c>
      <c r="D97" s="23" t="str">
        <f>'Student Data'!E64</f>
        <v>16 June 2006</v>
      </c>
      <c r="E97" s="22" t="str">
        <f>'Student Data'!E92</f>
        <v>31 January 2006</v>
      </c>
      <c r="F97" s="24" t="str">
        <f>'Student Data'!L6</f>
        <v>18 June 2005</v>
      </c>
      <c r="G97" s="24" t="str">
        <f>'Student Data'!L36</f>
        <v>3 March 2005</v>
      </c>
      <c r="H97" s="24" t="str">
        <f>'Student Data'!L64</f>
        <v>1 September 2005</v>
      </c>
      <c r="I97" s="24" t="str">
        <f>'Student Data'!L92</f>
        <v>28 March 2005</v>
      </c>
      <c r="J97" s="25" t="str">
        <f>'Student Data'!S6</f>
        <v>27 July 2004</v>
      </c>
      <c r="K97" s="25" t="str">
        <f>'Student Data'!S36</f>
        <v>21 June 2004</v>
      </c>
      <c r="L97" s="25" t="str">
        <f>'Student Data'!S64</f>
        <v>27 February 2004</v>
      </c>
      <c r="M97" s="25" t="str">
        <f>'Student Data'!S92</f>
        <v>10 March 2004</v>
      </c>
    </row>
    <row r="98" spans="1:13" x14ac:dyDescent="0.25">
      <c r="A98" s="28">
        <v>4</v>
      </c>
      <c r="B98" s="22" t="str">
        <f>'Student Data'!E7</f>
        <v>7 September 2006</v>
      </c>
      <c r="C98" s="23" t="str">
        <f>'Student Data'!E37</f>
        <v>11 February 2006</v>
      </c>
      <c r="D98" s="23" t="str">
        <f>'Student Data'!E65</f>
        <v>11 August 2006</v>
      </c>
      <c r="E98" s="22" t="str">
        <f>'Student Data'!E93</f>
        <v>28 November 2006</v>
      </c>
      <c r="F98" s="24" t="str">
        <f>'Student Data'!L7</f>
        <v>18 April 2005</v>
      </c>
      <c r="G98" s="24" t="str">
        <f>'Student Data'!L37</f>
        <v>16 January 2005</v>
      </c>
      <c r="H98" s="24" t="str">
        <f>'Student Data'!L65</f>
        <v>12 August 2005</v>
      </c>
      <c r="I98" s="24" t="str">
        <f>'Student Data'!L93</f>
        <v>12 April 2005</v>
      </c>
      <c r="J98" s="25" t="str">
        <f>'Student Data'!S7</f>
        <v>23 January 2004</v>
      </c>
      <c r="K98" s="25" t="str">
        <f>'Student Data'!S37</f>
        <v>11 April 2004</v>
      </c>
      <c r="L98" s="25" t="str">
        <f>'Student Data'!S65</f>
        <v>23 October 2004</v>
      </c>
      <c r="M98" s="25" t="str">
        <f>'Student Data'!S93</f>
        <v>12 December 2004</v>
      </c>
    </row>
    <row r="99" spans="1:13" x14ac:dyDescent="0.25">
      <c r="A99" s="28">
        <v>5</v>
      </c>
      <c r="B99" s="22" t="str">
        <f>'Student Data'!E8</f>
        <v>31 January 2006</v>
      </c>
      <c r="C99" s="23" t="str">
        <f>'Student Data'!E38</f>
        <v>24 August 2006</v>
      </c>
      <c r="D99" s="23" t="str">
        <f>'Student Data'!E66</f>
        <v>7 October 2006</v>
      </c>
      <c r="E99" s="22" t="str">
        <f>'Student Data'!E94</f>
        <v>20 July 2006</v>
      </c>
      <c r="F99" s="24" t="str">
        <f>'Student Data'!L8</f>
        <v>1 June 2005</v>
      </c>
      <c r="G99" s="24" t="str">
        <f>'Student Data'!L38</f>
        <v>17 April 2005</v>
      </c>
      <c r="H99" s="24" t="str">
        <f>'Student Data'!L66</f>
        <v>1 May 2005</v>
      </c>
      <c r="I99" s="24" t="str">
        <f>'Student Data'!L94</f>
        <v xml:space="preserve"> 31 July 2005</v>
      </c>
      <c r="J99" s="25" t="str">
        <f>'Student Data'!S8</f>
        <v>27 February 2004</v>
      </c>
      <c r="K99" s="25" t="str">
        <f>'Student Data'!S38</f>
        <v>23 January 2004</v>
      </c>
      <c r="L99" s="25" t="str">
        <f>'Student Data'!S66</f>
        <v>1 May 2004</v>
      </c>
      <c r="M99" s="25" t="str">
        <f>'Student Data'!S94</f>
        <v>10 December 2004</v>
      </c>
    </row>
    <row r="100" spans="1:13" x14ac:dyDescent="0.25">
      <c r="A100" s="28">
        <v>6</v>
      </c>
      <c r="B100" s="22" t="str">
        <f>'Student Data'!E9</f>
        <v>8 July 2006</v>
      </c>
      <c r="C100" s="23" t="str">
        <f>'Student Data'!E39</f>
        <v>6 January 2006</v>
      </c>
      <c r="D100" s="23" t="str">
        <f>'Student Data'!E67</f>
        <v>5 November 2005</v>
      </c>
      <c r="E100" s="22" t="str">
        <f>'Student Data'!E95</f>
        <v>14 December 2005</v>
      </c>
      <c r="F100" s="24" t="str">
        <f>'Student Data'!L9</f>
        <v>14 October 2005</v>
      </c>
      <c r="G100" s="24" t="str">
        <f>'Student Data'!L39</f>
        <v>5 September 2005</v>
      </c>
      <c r="H100" s="24" t="str">
        <f>'Student Data'!L67</f>
        <v xml:space="preserve"> 3 May 2005</v>
      </c>
      <c r="I100" s="24" t="str">
        <f>'Student Data'!L95</f>
        <v>29 June 2005</v>
      </c>
      <c r="J100" s="25" t="str">
        <f>'Student Data'!S9</f>
        <v>12 April 2004</v>
      </c>
      <c r="K100" s="25" t="str">
        <f>'Student Data'!S39</f>
        <v>20 November 2004</v>
      </c>
      <c r="L100" s="25" t="str">
        <f>'Student Data'!S67</f>
        <v>21 June 2004</v>
      </c>
      <c r="M100" s="25" t="str">
        <f>'Student Data'!S95</f>
        <v>4 October 2004</v>
      </c>
    </row>
    <row r="101" spans="1:13" x14ac:dyDescent="0.25">
      <c r="A101" s="28">
        <v>7</v>
      </c>
      <c r="B101" s="22" t="str">
        <f>'Student Data'!E10</f>
        <v>8 September 2006</v>
      </c>
      <c r="C101" s="23" t="str">
        <f>'Student Data'!E40</f>
        <v>10 November 2006</v>
      </c>
      <c r="D101" s="23" t="str">
        <f>'Student Data'!E68</f>
        <v>15 Mei 2006</v>
      </c>
      <c r="E101" s="22" t="str">
        <f>'Student Data'!E96</f>
        <v>3 January 2006</v>
      </c>
      <c r="F101" s="24" t="str">
        <f>'Student Data'!L10</f>
        <v>26 May 2005</v>
      </c>
      <c r="G101" s="24" t="str">
        <f>'Student Data'!L40</f>
        <v>9 October 2004</v>
      </c>
      <c r="H101" s="24" t="str">
        <f>'Student Data'!L68</f>
        <v>10 June 2005</v>
      </c>
      <c r="I101" s="24" t="str">
        <f>'Student Data'!L96</f>
        <v>20 August 2005</v>
      </c>
      <c r="J101" s="25" t="str">
        <f>'Student Data'!S10</f>
        <v>30 September 2004</v>
      </c>
      <c r="K101" s="25" t="str">
        <f>'Student Data'!S40</f>
        <v>2 December 2003</v>
      </c>
      <c r="L101" s="25" t="str">
        <f>'Student Data'!S68</f>
        <v>7 January 2004</v>
      </c>
      <c r="M101" s="25" t="str">
        <f>'Student Data'!S96</f>
        <v>21 January 2004</v>
      </c>
    </row>
    <row r="102" spans="1:13" x14ac:dyDescent="0.25">
      <c r="A102" s="28">
        <v>8</v>
      </c>
      <c r="B102" s="22" t="str">
        <f>'Student Data'!E11</f>
        <v>21 March 2006</v>
      </c>
      <c r="C102" s="23" t="str">
        <f>'Student Data'!E41</f>
        <v>21 February 2006</v>
      </c>
      <c r="D102" s="23" t="str">
        <f>'Student Data'!E69</f>
        <v>30 July 2006</v>
      </c>
      <c r="E102" s="22" t="str">
        <f>'Student Data'!E97</f>
        <v>6 January 2006</v>
      </c>
      <c r="F102" s="24" t="str">
        <f>'Student Data'!L11</f>
        <v>18 December 2005</v>
      </c>
      <c r="G102" s="24" t="str">
        <f>'Student Data'!L41</f>
        <v>14 July 2005</v>
      </c>
      <c r="H102" s="24" t="str">
        <f>'Student Data'!L69</f>
        <v xml:space="preserve"> 25 October 2005</v>
      </c>
      <c r="I102" s="24" t="str">
        <f>'Student Data'!L97</f>
        <v>18 May 2005</v>
      </c>
      <c r="J102" s="25" t="str">
        <f>'Student Data'!S11</f>
        <v>12 July 2004</v>
      </c>
      <c r="K102" s="25" t="str">
        <f>'Student Data'!S41</f>
        <v>17 December 2004</v>
      </c>
      <c r="L102" s="25" t="str">
        <f>'Student Data'!S69</f>
        <v>3 January 2004</v>
      </c>
      <c r="M102" s="25" t="str">
        <f>'Student Data'!S97</f>
        <v>21 January 2004</v>
      </c>
    </row>
    <row r="103" spans="1:13" x14ac:dyDescent="0.25">
      <c r="A103" s="28">
        <v>9</v>
      </c>
      <c r="B103" s="22" t="str">
        <f>'Student Data'!E12</f>
        <v>10 February 2006</v>
      </c>
      <c r="C103" s="23" t="str">
        <f>'Student Data'!E42</f>
        <v>12 August 2006</v>
      </c>
      <c r="D103" s="23" t="str">
        <f>'Student Data'!E70</f>
        <v>18 December 2006</v>
      </c>
      <c r="E103" s="22" t="str">
        <f>'Student Data'!E98</f>
        <v>17 August 2006</v>
      </c>
      <c r="F103" s="24" t="str">
        <f>'Student Data'!L12</f>
        <v>16 November 2005</v>
      </c>
      <c r="G103" s="24" t="str">
        <f>'Student Data'!L42</f>
        <v>3 April 2005</v>
      </c>
      <c r="H103" s="24" t="str">
        <f>'Student Data'!L70</f>
        <v>22 November 2005</v>
      </c>
      <c r="I103" s="24" t="str">
        <f>'Student Data'!L98</f>
        <v>25 May 2005</v>
      </c>
      <c r="J103" s="25" t="str">
        <f>'Student Data'!S12</f>
        <v>5 May 2004</v>
      </c>
      <c r="K103" s="25" t="str">
        <f>'Student Data'!S42</f>
        <v>29 August 2004</v>
      </c>
      <c r="L103" s="25" t="str">
        <f>'Student Data'!S70</f>
        <v>29 October 2004</v>
      </c>
      <c r="M103" s="25" t="str">
        <f>'Student Data'!S98</f>
        <v>17 December 2003</v>
      </c>
    </row>
    <row r="104" spans="1:13" x14ac:dyDescent="0.25">
      <c r="A104" s="28">
        <v>10</v>
      </c>
      <c r="B104" s="22" t="str">
        <f>'Student Data'!E13</f>
        <v>24 December 2005</v>
      </c>
      <c r="C104" s="23" t="str">
        <f>'Student Data'!E43</f>
        <v>17 July 2006</v>
      </c>
      <c r="D104" s="23" t="str">
        <f>'Student Data'!E71</f>
        <v>6 September 2006</v>
      </c>
      <c r="E104" s="22" t="str">
        <f>'Student Data'!E99</f>
        <v>1 February 2006</v>
      </c>
      <c r="F104" s="24" t="str">
        <f>'Student Data'!L13</f>
        <v xml:space="preserve"> 10 October 2005</v>
      </c>
      <c r="G104" s="24" t="str">
        <f>'Student Data'!L43</f>
        <v>18 April 2005</v>
      </c>
      <c r="H104" s="24" t="str">
        <f>'Student Data'!L71</f>
        <v>25 February 2005</v>
      </c>
      <c r="I104" s="24" t="str">
        <f>'Student Data'!L99</f>
        <v xml:space="preserve"> 28 October 2005</v>
      </c>
      <c r="J104" s="25" t="str">
        <f>'Student Data'!S13</f>
        <v>8 June 2004</v>
      </c>
      <c r="K104" s="25" t="str">
        <f>'Student Data'!S43</f>
        <v>30 July 2004</v>
      </c>
      <c r="L104" s="25" t="str">
        <f>'Student Data'!S71</f>
        <v>5 December 2003</v>
      </c>
      <c r="M104" s="25" t="str">
        <f>'Student Data'!S99</f>
        <v>23 August 2003</v>
      </c>
    </row>
    <row r="105" spans="1:13" x14ac:dyDescent="0.25">
      <c r="A105" s="28">
        <v>11</v>
      </c>
      <c r="B105" s="22" t="str">
        <f>'Student Data'!E14</f>
        <v>10 October 2006</v>
      </c>
      <c r="C105" s="23" t="str">
        <f>'Student Data'!E44</f>
        <v>28 July 2006</v>
      </c>
      <c r="D105" s="23" t="str">
        <f>'Student Data'!E72</f>
        <v>26 December 2005</v>
      </c>
      <c r="E105" s="22" t="str">
        <f>'Student Data'!E100</f>
        <v>24 June 2006</v>
      </c>
      <c r="F105" s="24" t="str">
        <f>'Student Data'!L14</f>
        <v xml:space="preserve"> 11 December 2004</v>
      </c>
      <c r="G105" s="24" t="str">
        <f>'Student Data'!L44</f>
        <v>5 September 2005</v>
      </c>
      <c r="H105" s="24" t="str">
        <f>'Student Data'!L72</f>
        <v>11 May 2005</v>
      </c>
      <c r="I105" s="24" t="str">
        <f>'Student Data'!L100</f>
        <v>26 December 2004</v>
      </c>
      <c r="J105" s="25" t="str">
        <f>'Student Data'!S14</f>
        <v>3 December 2004</v>
      </c>
      <c r="K105" s="25" t="str">
        <f>'Student Data'!S44</f>
        <v>12 October 2004</v>
      </c>
      <c r="L105" s="25" t="str">
        <f>'Student Data'!S72</f>
        <v>16 December 2004</v>
      </c>
      <c r="M105" s="25" t="str">
        <f>'Student Data'!S100</f>
        <v>16 December 2003</v>
      </c>
    </row>
    <row r="106" spans="1:13" x14ac:dyDescent="0.25">
      <c r="A106" s="28">
        <v>12</v>
      </c>
      <c r="B106" s="22" t="str">
        <f>'Student Data'!E15</f>
        <v>16 April 2006</v>
      </c>
      <c r="C106" s="23" t="str">
        <f>'Student Data'!E45</f>
        <v>10 July 2006</v>
      </c>
      <c r="D106" s="23" t="str">
        <f>'Student Data'!E73</f>
        <v>26 May 2006</v>
      </c>
      <c r="E106" s="22" t="str">
        <f>'Student Data'!E101</f>
        <v>27 October 2005</v>
      </c>
      <c r="F106" s="24" t="str">
        <f>'Student Data'!L15</f>
        <v>23 April 2005</v>
      </c>
      <c r="G106" s="24" t="str">
        <f>'Student Data'!L45</f>
        <v>5 August 2005</v>
      </c>
      <c r="H106" s="24" t="str">
        <f>'Student Data'!L73</f>
        <v xml:space="preserve"> 15 September 2005</v>
      </c>
      <c r="I106" s="24" t="str">
        <f>'Student Data'!L101</f>
        <v>20 May 2005</v>
      </c>
      <c r="J106" s="25" t="str">
        <f>'Student Data'!S15</f>
        <v>21 January 2004</v>
      </c>
      <c r="K106" s="25" t="str">
        <f>'Student Data'!S45</f>
        <v>26 December 2003</v>
      </c>
      <c r="L106" s="25" t="str">
        <f>'Student Data'!S73</f>
        <v>25 May 2004</v>
      </c>
      <c r="M106" s="25" t="str">
        <f>'Student Data'!S101</f>
        <v>21 October 2004</v>
      </c>
    </row>
    <row r="107" spans="1:13" x14ac:dyDescent="0.25">
      <c r="A107" s="28">
        <v>13</v>
      </c>
      <c r="B107" s="22" t="str">
        <f>'Student Data'!E16</f>
        <v>5 April 2006</v>
      </c>
      <c r="C107" s="23" t="str">
        <f>'Student Data'!E46</f>
        <v>13 Oktober 2006</v>
      </c>
      <c r="D107" s="23" t="str">
        <f>'Student Data'!E74</f>
        <v>26 Desember 2006</v>
      </c>
      <c r="E107" s="22" t="str">
        <f>'Student Data'!E102</f>
        <v>29 July 2006</v>
      </c>
      <c r="F107" s="24" t="str">
        <f>'Student Data'!L16</f>
        <v xml:space="preserve"> 31 May 2005</v>
      </c>
      <c r="G107" s="24" t="str">
        <f>'Student Data'!L46</f>
        <v>30 October 2005</v>
      </c>
      <c r="H107" s="24" t="str">
        <f>'Student Data'!L74</f>
        <v>26 March 2005</v>
      </c>
      <c r="I107" s="24" t="str">
        <f>'Student Data'!L102</f>
        <v>12 April 2004</v>
      </c>
      <c r="J107" s="25" t="str">
        <f>'Student Data'!S16</f>
        <v>5 May 2004</v>
      </c>
      <c r="K107" s="25" t="e">
        <f>'Student Data'!#REF!</f>
        <v>#REF!</v>
      </c>
      <c r="L107" s="25" t="str">
        <f>'Student Data'!S74</f>
        <v>28 April 2004</v>
      </c>
      <c r="M107" s="25" t="str">
        <f>'Student Data'!S102</f>
        <v>27 November 2002</v>
      </c>
    </row>
    <row r="108" spans="1:13" x14ac:dyDescent="0.25">
      <c r="A108" s="28">
        <v>14</v>
      </c>
      <c r="B108" s="22" t="str">
        <f>'Student Data'!E17</f>
        <v>5 September 2006</v>
      </c>
      <c r="C108" s="23" t="str">
        <f>'Student Data'!E47</f>
        <v>20 February 2006</v>
      </c>
      <c r="D108" s="23" t="str">
        <f>'Student Data'!E75</f>
        <v>11 March 2006</v>
      </c>
      <c r="E108" s="22" t="str">
        <f>'Student Data'!E103</f>
        <v>13 August 2006</v>
      </c>
      <c r="F108" s="24" t="str">
        <f>'Student Data'!L17</f>
        <v>22 January 2005</v>
      </c>
      <c r="G108" s="24" t="str">
        <f>'Student Data'!L47</f>
        <v>12 October 2005</v>
      </c>
      <c r="H108" s="24" t="str">
        <f>'Student Data'!L75</f>
        <v>3 March 2005</v>
      </c>
      <c r="I108" s="24" t="str">
        <f>'Student Data'!L103</f>
        <v>21 December 2004</v>
      </c>
      <c r="J108" s="25" t="str">
        <f>'Student Data'!S17</f>
        <v>9 June 2004</v>
      </c>
      <c r="K108" s="25" t="str">
        <f>'Student Data'!S47</f>
        <v>21 November 2003</v>
      </c>
      <c r="L108" s="25" t="str">
        <f>'Student Data'!S75</f>
        <v>3 July 2004</v>
      </c>
      <c r="M108" s="25" t="str">
        <f>'Student Data'!S103</f>
        <v>5 November 2004</v>
      </c>
    </row>
    <row r="109" spans="1:13" x14ac:dyDescent="0.25">
      <c r="A109" s="28">
        <v>15</v>
      </c>
      <c r="B109" s="22" t="str">
        <f>'Student Data'!E18</f>
        <v>27 February 2006</v>
      </c>
      <c r="C109" s="23" t="str">
        <f>'Student Data'!E48</f>
        <v>9 October 2006</v>
      </c>
      <c r="D109" s="23" t="str">
        <f>'Student Data'!E76</f>
        <v>29 January 2006</v>
      </c>
      <c r="E109" s="22" t="str">
        <f>'Student Data'!E104</f>
        <v>9 October 2006</v>
      </c>
      <c r="F109" s="24" t="str">
        <f>'Student Data'!L18</f>
        <v>20 February 2005</v>
      </c>
      <c r="G109" s="24" t="str">
        <f>'Student Data'!L48</f>
        <v xml:space="preserve"> 28 October 2005</v>
      </c>
      <c r="H109" s="24" t="str">
        <f>'Student Data'!L76</f>
        <v xml:space="preserve"> 10 October 2005</v>
      </c>
      <c r="I109" s="24" t="str">
        <f>'Student Data'!L104</f>
        <v xml:space="preserve"> 27 October 2005</v>
      </c>
      <c r="J109" s="25" t="str">
        <f>'Student Data'!S18</f>
        <v>28 January 2005</v>
      </c>
      <c r="K109" s="25" t="str">
        <f>'Student Data'!S48</f>
        <v>10 November 2003</v>
      </c>
      <c r="L109" s="25" t="str">
        <f>'Student Data'!S76</f>
        <v>27 November 2002</v>
      </c>
      <c r="M109" s="25" t="str">
        <f>'Student Data'!S104</f>
        <v>21 December 2004</v>
      </c>
    </row>
    <row r="110" spans="1:13" x14ac:dyDescent="0.25">
      <c r="A110" s="28">
        <v>16</v>
      </c>
      <c r="B110" s="22" t="str">
        <f>'Student Data'!E19</f>
        <v>19 May 2006</v>
      </c>
      <c r="C110" s="23" t="str">
        <f>'Student Data'!E49</f>
        <v>6 October 2006</v>
      </c>
      <c r="D110" s="23" t="str">
        <f>'Student Data'!E77</f>
        <v>22 April 2006</v>
      </c>
      <c r="E110" s="22" t="str">
        <f>'Student Data'!E105</f>
        <v>3 February 2006</v>
      </c>
      <c r="F110" s="24" t="str">
        <f>'Student Data'!L19</f>
        <v>9 September 2005</v>
      </c>
      <c r="G110" s="24" t="str">
        <f>'Student Data'!L49</f>
        <v>11 June 2005</v>
      </c>
      <c r="H110" s="24" t="str">
        <f>'Student Data'!L77</f>
        <v>1 March 2005</v>
      </c>
      <c r="I110" s="24" t="str">
        <f>'Student Data'!L105</f>
        <v xml:space="preserve"> 6 August 2005</v>
      </c>
      <c r="J110" s="25" t="str">
        <f>'Student Data'!S19</f>
        <v>6 January 2005</v>
      </c>
      <c r="K110" s="25" t="str">
        <f>'Student Data'!S49</f>
        <v>12 May 2004</v>
      </c>
      <c r="L110" s="25" t="str">
        <f>'Student Data'!S77</f>
        <v>21 March 2004</v>
      </c>
      <c r="M110" s="25" t="str">
        <f>'Student Data'!S105</f>
        <v>20 March 2004</v>
      </c>
    </row>
    <row r="111" spans="1:13" x14ac:dyDescent="0.25">
      <c r="A111" s="28">
        <v>17</v>
      </c>
      <c r="B111" s="22" t="str">
        <f>'Student Data'!E20</f>
        <v>5 December 2006</v>
      </c>
      <c r="C111" s="23" t="str">
        <f>'Student Data'!E50</f>
        <v>5 March 2006</v>
      </c>
      <c r="D111" s="23" t="str">
        <f>'Student Data'!E78</f>
        <v>2 April 2006</v>
      </c>
      <c r="E111" s="22" t="str">
        <f>'Student Data'!E106</f>
        <v>17 March 2006</v>
      </c>
      <c r="F111" s="24" t="str">
        <f>'Student Data'!L20</f>
        <v>16 June 2005</v>
      </c>
      <c r="G111" s="24" t="str">
        <f>'Student Data'!L50</f>
        <v xml:space="preserve"> 16 March 2005</v>
      </c>
      <c r="H111" s="24" t="str">
        <f>'Student Data'!L78</f>
        <v>27 January 2005</v>
      </c>
      <c r="I111" s="24" t="str">
        <f>'Student Data'!L106</f>
        <v>28 November 2004</v>
      </c>
      <c r="J111" s="25" t="str">
        <f>'Student Data'!S20</f>
        <v>28 November 2004</v>
      </c>
      <c r="K111" s="25" t="str">
        <f>'Student Data'!S50</f>
        <v>12 July 2004</v>
      </c>
      <c r="L111" s="25" t="str">
        <f>'Student Data'!S78</f>
        <v>7 August 2004</v>
      </c>
      <c r="M111" s="25" t="str">
        <f>'Student Data'!S106</f>
        <v>24 April 2004</v>
      </c>
    </row>
    <row r="112" spans="1:13" x14ac:dyDescent="0.25">
      <c r="A112" s="28">
        <v>18</v>
      </c>
      <c r="B112" s="22" t="str">
        <f>'Student Data'!E21</f>
        <v>1 September 2006</v>
      </c>
      <c r="C112" s="23" t="str">
        <f>'Student Data'!E51</f>
        <v>15 June 2006</v>
      </c>
      <c r="D112" s="23" t="str">
        <f>'Student Data'!E79</f>
        <v>28 February 2006</v>
      </c>
      <c r="E112" s="22" t="str">
        <f>'Student Data'!E107</f>
        <v>29 April 2006</v>
      </c>
      <c r="F112" s="24" t="str">
        <f>'Student Data'!L21</f>
        <v>25 August 2005</v>
      </c>
      <c r="G112" s="24" t="str">
        <f>'Student Data'!L51</f>
        <v>7 August 2005</v>
      </c>
      <c r="H112" s="24" t="str">
        <f>'Student Data'!L79</f>
        <v xml:space="preserve"> 3 September 2005</v>
      </c>
      <c r="I112" s="24" t="str">
        <f>'Student Data'!S46</f>
        <v>18 May 2004</v>
      </c>
      <c r="J112" s="25" t="str">
        <f>'Student Data'!S21</f>
        <v>18 October 2003</v>
      </c>
      <c r="K112" s="25" t="str">
        <f>'Student Data'!S51</f>
        <v>17 March 2004</v>
      </c>
      <c r="L112" s="25" t="str">
        <f>'Student Data'!S79</f>
        <v>30 December 2004</v>
      </c>
      <c r="M112" s="25" t="str">
        <f>'Student Data'!S107</f>
        <v>21 March 2004</v>
      </c>
    </row>
    <row r="113" spans="1:13" x14ac:dyDescent="0.25">
      <c r="A113" s="28">
        <v>19</v>
      </c>
      <c r="B113" s="22" t="str">
        <f>'Student Data'!E22</f>
        <v>21 April 2006</v>
      </c>
      <c r="C113" s="23" t="str">
        <f>'Student Data'!E52</f>
        <v>7 March 2006</v>
      </c>
      <c r="D113" s="23" t="str">
        <f>'Student Data'!E80</f>
        <v>28 June 2006</v>
      </c>
      <c r="E113" s="22" t="str">
        <f>'Student Data'!E108</f>
        <v>6 October 2006</v>
      </c>
      <c r="F113" s="24" t="str">
        <f>'Student Data'!L22</f>
        <v xml:space="preserve"> 11 August 2005</v>
      </c>
      <c r="G113" s="24" t="str">
        <f>'Student Data'!L52</f>
        <v>8 April 2005</v>
      </c>
      <c r="H113" s="24" t="str">
        <f>'Student Data'!L80</f>
        <v>19 April 2005</v>
      </c>
      <c r="I113" s="24" t="str">
        <f>'Student Data'!L108</f>
        <v>12 October 2005</v>
      </c>
      <c r="J113" s="25" t="str">
        <f>'Student Data'!S22</f>
        <v>11 June 2004</v>
      </c>
      <c r="K113" s="25" t="str">
        <f>'Student Data'!S52</f>
        <v>18 March 2004</v>
      </c>
      <c r="L113" s="25" t="str">
        <f>'Student Data'!S80</f>
        <v>19 June 2004</v>
      </c>
      <c r="M113" s="25" t="str">
        <f>'Student Data'!S108</f>
        <v>18 June 2004</v>
      </c>
    </row>
    <row r="114" spans="1:13" x14ac:dyDescent="0.25">
      <c r="A114" s="28">
        <v>20</v>
      </c>
      <c r="B114" s="22" t="str">
        <f>'Student Data'!E23</f>
        <v>29 June 2005</v>
      </c>
      <c r="C114" s="23" t="str">
        <f>'Student Data'!E53</f>
        <v>20 September 2006</v>
      </c>
      <c r="D114" s="23" t="str">
        <f>'Student Data'!E81</f>
        <v>21 September 2006</v>
      </c>
      <c r="E114" s="22" t="str">
        <f>'Student Data'!E109</f>
        <v>12 March 2006</v>
      </c>
      <c r="F114" s="24" t="str">
        <f>'Student Data'!L23</f>
        <v>14 October 2005</v>
      </c>
      <c r="G114" s="24" t="str">
        <f>'Student Data'!L53</f>
        <v>16 June 2005</v>
      </c>
      <c r="H114" s="24" t="str">
        <f>'Student Data'!L81</f>
        <v>5 April 2005</v>
      </c>
      <c r="I114" s="24" t="str">
        <f>'Student Data'!L109</f>
        <v xml:space="preserve"> 5 February 2005</v>
      </c>
      <c r="J114" s="25" t="str">
        <f>'Student Data'!S23</f>
        <v>31 May 2004</v>
      </c>
      <c r="K114" s="25" t="str">
        <f>'Student Data'!S53</f>
        <v>5 January 2004</v>
      </c>
      <c r="L114" s="25" t="str">
        <f>'Student Data'!S81</f>
        <v>4 January 2004</v>
      </c>
      <c r="M114" s="25" t="str">
        <f>'Student Data'!S109</f>
        <v>23 August 2004</v>
      </c>
    </row>
    <row r="115" spans="1:13" x14ac:dyDescent="0.25">
      <c r="A115" s="28">
        <v>21</v>
      </c>
      <c r="B115" s="22" t="str">
        <f>'Student Data'!E24</f>
        <v>31 May 2006</v>
      </c>
      <c r="C115" s="23" t="str">
        <f>'Student Data'!E54</f>
        <v>10 April 2006</v>
      </c>
      <c r="D115" s="23" t="str">
        <f>'Student Data'!E82</f>
        <v>16 October 2006</v>
      </c>
      <c r="E115" s="22" t="str">
        <f>'Student Data'!E110</f>
        <v>24 November 2005</v>
      </c>
      <c r="F115" s="24">
        <f>'Student Data'!L24</f>
        <v>0</v>
      </c>
      <c r="G115" s="24">
        <f>'Student Data'!L54</f>
        <v>0</v>
      </c>
      <c r="H115" s="24">
        <f>'Student Data'!L82</f>
        <v>0</v>
      </c>
      <c r="I115" s="24">
        <f>'Student Data'!L110</f>
        <v>0</v>
      </c>
      <c r="J115" s="25" t="str">
        <f>'Student Data'!S24</f>
        <v>25 August 2004</v>
      </c>
      <c r="K115" s="25" t="str">
        <f>'Student Data'!S54</f>
        <v>18 April 2004</v>
      </c>
      <c r="L115" s="25" t="str">
        <f>'Student Data'!S82</f>
        <v>1 November 2004</v>
      </c>
      <c r="M115" s="25" t="str">
        <f>'Student Data'!S110</f>
        <v>16 October 2004</v>
      </c>
    </row>
    <row r="116" spans="1:13" x14ac:dyDescent="0.25">
      <c r="A116" s="28">
        <v>22</v>
      </c>
      <c r="B116" s="22" t="str">
        <f>'Student Data'!E25</f>
        <v>25 November 2006</v>
      </c>
      <c r="C116" s="23" t="str">
        <f>'Student Data'!E55</f>
        <v>30 November 2006</v>
      </c>
      <c r="D116" s="23" t="str">
        <f>'Student Data'!E83</f>
        <v>8 August 2006</v>
      </c>
      <c r="E116" s="22" t="str">
        <f>'Student Data'!E111</f>
        <v>12 November 2006</v>
      </c>
      <c r="F116" s="24">
        <f>'Student Data'!L25</f>
        <v>0</v>
      </c>
      <c r="G116" s="24">
        <f>'Student Data'!L55</f>
        <v>0</v>
      </c>
      <c r="H116" s="24">
        <f>'Student Data'!L83</f>
        <v>0</v>
      </c>
      <c r="I116" s="24">
        <f>'Student Data'!L111</f>
        <v>0</v>
      </c>
      <c r="J116" s="25" t="str">
        <f>'Student Data'!S25</f>
        <v>23 July 2004</v>
      </c>
      <c r="K116" s="25" t="str">
        <f>'Student Data'!S55</f>
        <v>12 March 2003</v>
      </c>
      <c r="L116" s="25" t="str">
        <f>'Student Data'!S83</f>
        <v>16 May 2004</v>
      </c>
      <c r="M116" s="25" t="str">
        <f>'Student Data'!S111</f>
        <v>12 May 2004</v>
      </c>
    </row>
    <row r="117" spans="1:13" x14ac:dyDescent="0.25">
      <c r="A117" s="28">
        <v>23</v>
      </c>
      <c r="B117" s="22" t="str">
        <f>'Student Data'!E26</f>
        <v>20 February 2006</v>
      </c>
      <c r="C117" s="23" t="str">
        <f>'Student Data'!E56</f>
        <v>1 January 2006</v>
      </c>
      <c r="D117" s="23" t="str">
        <f>'Student Data'!E84</f>
        <v>8 January 2006</v>
      </c>
      <c r="E117" s="22" t="str">
        <f>'Student Data'!E112</f>
        <v>14 February 2006</v>
      </c>
      <c r="F117" s="24">
        <f>'Student Data'!L26</f>
        <v>0</v>
      </c>
      <c r="G117" s="24">
        <f>'Student Data'!L56</f>
        <v>0</v>
      </c>
      <c r="H117" s="24">
        <f>'Student Data'!L84</f>
        <v>0</v>
      </c>
      <c r="I117" s="24">
        <f>'Student Data'!L112</f>
        <v>0</v>
      </c>
      <c r="J117" s="25" t="str">
        <f>'Student Data'!S26</f>
        <v>7 December 2003</v>
      </c>
      <c r="K117" s="25" t="str">
        <f>'Student Data'!S56</f>
        <v>19 December 2003</v>
      </c>
      <c r="L117" s="25" t="str">
        <f>'Student Data'!S84</f>
        <v>2 December 2004</v>
      </c>
      <c r="M117" s="25" t="str">
        <f>'Student Data'!S112</f>
        <v>16 July 2004</v>
      </c>
    </row>
    <row r="118" spans="1:13" x14ac:dyDescent="0.25">
      <c r="A118" s="28">
        <v>24</v>
      </c>
      <c r="B118" s="22" t="str">
        <f>'Student Data'!E27</f>
        <v>20 August 2006</v>
      </c>
      <c r="C118" s="23" t="str">
        <f>'Student Data'!E57</f>
        <v>2 February 2006</v>
      </c>
      <c r="D118" s="23" t="str">
        <f>'Student Data'!E85</f>
        <v>25 August 2006</v>
      </c>
      <c r="E118" s="22" t="str">
        <f>'Student Data'!E113</f>
        <v>17 May 2006</v>
      </c>
      <c r="F118" s="24">
        <f>'Student Data'!L27</f>
        <v>0</v>
      </c>
      <c r="G118" s="24">
        <f>'Student Data'!L57</f>
        <v>0</v>
      </c>
      <c r="H118" s="24">
        <f>'Student Data'!L85</f>
        <v>0</v>
      </c>
      <c r="I118" s="24">
        <f>'Student Data'!L113</f>
        <v>0</v>
      </c>
      <c r="J118" s="25" t="str">
        <f>'Student Data'!S27</f>
        <v>27 December 2003</v>
      </c>
      <c r="K118" s="25" t="str">
        <f>'Student Data'!S57</f>
        <v>26 November 2004</v>
      </c>
      <c r="L118" s="25" t="str">
        <f>'Student Data'!S85</f>
        <v>19 December 2004</v>
      </c>
      <c r="M118" s="25" t="str">
        <f>'Student Data'!S113</f>
        <v>19 July 2004</v>
      </c>
    </row>
    <row r="119" spans="1:13" x14ac:dyDescent="0.25">
      <c r="A119" s="30">
        <v>25</v>
      </c>
      <c r="B119" s="22" t="str">
        <f>'Student Data'!E28</f>
        <v>23 September 2006</v>
      </c>
      <c r="C119" s="23" t="str">
        <f>'Student Data'!E58</f>
        <v>9 September 2006</v>
      </c>
      <c r="D119" s="23" t="str">
        <f>'Student Data'!E86</f>
        <v>17 October 2006</v>
      </c>
      <c r="E119" s="22" t="str">
        <f>'Student Data'!E114</f>
        <v>6 January 2006</v>
      </c>
      <c r="F119" s="24">
        <f>'Student Data'!L28</f>
        <v>0</v>
      </c>
      <c r="G119" s="24">
        <f>'Student Data'!L58</f>
        <v>0</v>
      </c>
      <c r="H119" s="24">
        <f>'Student Data'!L86</f>
        <v>0</v>
      </c>
      <c r="I119" s="24">
        <f>'Student Data'!L114</f>
        <v>0</v>
      </c>
      <c r="J119" s="25">
        <f>'Student Data'!S28</f>
        <v>0</v>
      </c>
      <c r="K119" s="25">
        <f>'Student Data'!S58</f>
        <v>0</v>
      </c>
      <c r="L119" s="25" t="str">
        <f>'Student Data'!S86</f>
        <v>22 May 2004</v>
      </c>
      <c r="M119" s="25" t="str">
        <f>'Student Data'!S114</f>
        <v>27 June 2004</v>
      </c>
    </row>
    <row r="120" spans="1:13" x14ac:dyDescent="0.25">
      <c r="A120" s="30">
        <v>26</v>
      </c>
      <c r="B120" s="22" t="str">
        <f>'Student Data'!E29</f>
        <v>5 October 2006</v>
      </c>
      <c r="C120" s="23">
        <f>'Student Data'!E59</f>
        <v>0</v>
      </c>
      <c r="D120" s="23" t="str">
        <f>'Student Data'!E87</f>
        <v>2 February 2006</v>
      </c>
      <c r="E120" s="22">
        <f>'Student Data'!E115</f>
        <v>0</v>
      </c>
      <c r="F120" s="24">
        <f>'Student Data'!L29</f>
        <v>0</v>
      </c>
      <c r="G120" s="24">
        <f>'Student Data'!L59</f>
        <v>0</v>
      </c>
      <c r="H120" s="24">
        <f>'Student Data'!L87</f>
        <v>0</v>
      </c>
      <c r="I120" s="24">
        <f>'Student Data'!L115</f>
        <v>0</v>
      </c>
      <c r="J120" s="25">
        <f>'Student Data'!S29</f>
        <v>0</v>
      </c>
      <c r="K120" s="25">
        <f>'Student Data'!S59</f>
        <v>0</v>
      </c>
      <c r="L120" s="25">
        <f>'Student Data'!S87</f>
        <v>0</v>
      </c>
      <c r="M120" s="25">
        <f>'Student Data'!S115</f>
        <v>0</v>
      </c>
    </row>
    <row r="121" spans="1:13" x14ac:dyDescent="0.25">
      <c r="A121" s="30">
        <v>27</v>
      </c>
      <c r="B121" s="22" t="str">
        <f>'Student Data'!E30</f>
        <v>17 February 2006</v>
      </c>
      <c r="C121" s="23">
        <f>'Student Data'!E60</f>
        <v>0</v>
      </c>
      <c r="D121" s="23">
        <f>'Student Data'!E88</f>
        <v>0</v>
      </c>
      <c r="E121" s="22">
        <f>'Student Data'!E116</f>
        <v>0</v>
      </c>
      <c r="F121" s="24">
        <f>'Student Data'!L30</f>
        <v>0</v>
      </c>
      <c r="G121" s="24">
        <f>'Student Data'!L60</f>
        <v>0</v>
      </c>
      <c r="H121" s="24">
        <f>'Student Data'!L88</f>
        <v>0</v>
      </c>
      <c r="I121" s="24">
        <f>'Student Data'!L116</f>
        <v>0</v>
      </c>
      <c r="J121" s="25">
        <f>'Student Data'!S30</f>
        <v>0</v>
      </c>
      <c r="K121" s="25">
        <f>'Student Data'!S60</f>
        <v>0</v>
      </c>
      <c r="L121" s="25">
        <f>'Student Data'!S88</f>
        <v>0</v>
      </c>
      <c r="M121" s="25">
        <f>'Student Data'!S116</f>
        <v>0</v>
      </c>
    </row>
    <row r="123" spans="1:13" ht="31.5" x14ac:dyDescent="0.5">
      <c r="A123" s="29" t="s">
        <v>183</v>
      </c>
    </row>
    <row r="125" spans="1:13" x14ac:dyDescent="0.25">
      <c r="A125" s="28">
        <v>1</v>
      </c>
      <c r="B125" s="17">
        <v>7.1</v>
      </c>
      <c r="C125" s="17">
        <v>7.2</v>
      </c>
      <c r="D125" s="17">
        <v>7.3</v>
      </c>
      <c r="E125" s="17">
        <v>7.4</v>
      </c>
      <c r="F125" s="15">
        <v>8.1</v>
      </c>
      <c r="G125" s="17">
        <v>8.1999999999999993</v>
      </c>
      <c r="H125" s="17">
        <v>8.3000000000000007</v>
      </c>
      <c r="I125" s="17">
        <v>8.4</v>
      </c>
      <c r="J125" s="16">
        <v>9.1</v>
      </c>
      <c r="K125" s="16">
        <v>9.1999999999999993</v>
      </c>
      <c r="L125" s="16">
        <v>9.3000000000000007</v>
      </c>
      <c r="M125" s="16">
        <v>9.4</v>
      </c>
    </row>
    <row r="126" spans="1:13" x14ac:dyDescent="0.25">
      <c r="A126" s="28">
        <v>2</v>
      </c>
      <c r="B126" s="22">
        <f>'Student Data'!F5</f>
        <v>0</v>
      </c>
      <c r="C126" s="23" t="str">
        <f>'Student Data'!F35</f>
        <v>B</v>
      </c>
      <c r="D126" s="23" t="str">
        <f>'Student Data'!F63</f>
        <v>B</v>
      </c>
      <c r="E126" s="22">
        <f>'Student Data'!F91</f>
        <v>0</v>
      </c>
      <c r="F126" s="24">
        <f>'Student Data'!M5</f>
        <v>0</v>
      </c>
      <c r="G126" s="24">
        <f>'Student Data'!M35</f>
        <v>0</v>
      </c>
      <c r="H126" s="24">
        <f>'Student Data'!M63</f>
        <v>0</v>
      </c>
      <c r="I126" s="24">
        <f>'Student Data'!M91</f>
        <v>0</v>
      </c>
      <c r="J126" s="36">
        <f>'Student Data'!T5</f>
        <v>0</v>
      </c>
      <c r="K126" s="36" t="str">
        <f>'Student Data'!T35</f>
        <v>B</v>
      </c>
      <c r="L126" s="36">
        <f>'Student Data'!T63</f>
        <v>0</v>
      </c>
      <c r="M126" s="36">
        <f>'Student Data'!T91</f>
        <v>0</v>
      </c>
    </row>
    <row r="127" spans="1:13" x14ac:dyDescent="0.25">
      <c r="A127" s="28">
        <v>3</v>
      </c>
      <c r="B127" s="22">
        <f>'Student Data'!F6</f>
        <v>0</v>
      </c>
      <c r="C127" s="23" t="str">
        <f>'Student Data'!F36</f>
        <v>B</v>
      </c>
      <c r="D127" s="23">
        <f>'Student Data'!F64</f>
        <v>0</v>
      </c>
      <c r="E127" s="22">
        <f>'Student Data'!F92</f>
        <v>0</v>
      </c>
      <c r="F127" s="24">
        <f>'Student Data'!M6</f>
        <v>0</v>
      </c>
      <c r="G127" s="24">
        <f>'Student Data'!M36</f>
        <v>0</v>
      </c>
      <c r="H127" s="24">
        <f>'Student Data'!M64</f>
        <v>0</v>
      </c>
      <c r="I127" s="24">
        <f>'Student Data'!M92</f>
        <v>0</v>
      </c>
      <c r="J127" s="36">
        <f>'Student Data'!T6</f>
        <v>0</v>
      </c>
      <c r="K127" s="36" t="str">
        <f>'Student Data'!T36</f>
        <v>B</v>
      </c>
      <c r="L127" s="36" t="str">
        <f>'Student Data'!T64</f>
        <v>B</v>
      </c>
      <c r="M127" s="36">
        <f>'Student Data'!T92</f>
        <v>0</v>
      </c>
    </row>
    <row r="128" spans="1:13" x14ac:dyDescent="0.25">
      <c r="A128" s="28">
        <v>4</v>
      </c>
      <c r="B128" s="22" t="str">
        <f>'Student Data'!F7</f>
        <v>B</v>
      </c>
      <c r="C128" s="23">
        <f>'Student Data'!F37</f>
        <v>0</v>
      </c>
      <c r="D128" s="23">
        <f>'Student Data'!F65</f>
        <v>0</v>
      </c>
      <c r="E128" s="22" t="str">
        <f>'Student Data'!F93</f>
        <v>B</v>
      </c>
      <c r="F128" s="24">
        <f>'Student Data'!M7</f>
        <v>0</v>
      </c>
      <c r="G128" s="24">
        <f>'Student Data'!M37</f>
        <v>0</v>
      </c>
      <c r="H128" s="24">
        <f>'Student Data'!M65</f>
        <v>0</v>
      </c>
      <c r="I128" s="24">
        <f>'Student Data'!M93</f>
        <v>0</v>
      </c>
      <c r="J128" s="36" t="str">
        <f>'Student Data'!T7</f>
        <v>B</v>
      </c>
      <c r="K128" s="36">
        <f>'Student Data'!T37</f>
        <v>0</v>
      </c>
      <c r="L128" s="36" t="str">
        <f>'Student Data'!T65</f>
        <v>B</v>
      </c>
      <c r="M128" s="36">
        <f>'Student Data'!T93</f>
        <v>0</v>
      </c>
    </row>
    <row r="129" spans="1:13" x14ac:dyDescent="0.25">
      <c r="A129" s="28">
        <v>5</v>
      </c>
      <c r="B129" s="22" t="str">
        <f>'Student Data'!F8</f>
        <v>B</v>
      </c>
      <c r="C129" s="23">
        <f>'Student Data'!F38</f>
        <v>0</v>
      </c>
      <c r="D129" s="23" t="str">
        <f>'Student Data'!F66</f>
        <v>B</v>
      </c>
      <c r="E129" s="22">
        <f>'Student Data'!F94</f>
        <v>0</v>
      </c>
      <c r="F129" s="24">
        <f>'Student Data'!M8</f>
        <v>0</v>
      </c>
      <c r="G129" s="24">
        <f>'Student Data'!M38</f>
        <v>0</v>
      </c>
      <c r="H129" s="24">
        <f>'Student Data'!M66</f>
        <v>0</v>
      </c>
      <c r="I129" s="24">
        <f>'Student Data'!M94</f>
        <v>0</v>
      </c>
      <c r="J129" s="36">
        <f>'Student Data'!T8</f>
        <v>0</v>
      </c>
      <c r="K129" s="36">
        <f>'Student Data'!T38</f>
        <v>0</v>
      </c>
      <c r="L129" s="36">
        <f>'Student Data'!T66</f>
        <v>0</v>
      </c>
      <c r="M129" s="36">
        <f>'Student Data'!T94</f>
        <v>0</v>
      </c>
    </row>
    <row r="130" spans="1:13" x14ac:dyDescent="0.25">
      <c r="A130" s="28">
        <v>6</v>
      </c>
      <c r="B130" s="22" t="str">
        <f>'Student Data'!F9</f>
        <v>B</v>
      </c>
      <c r="C130" s="23">
        <f>'Student Data'!F39</f>
        <v>0</v>
      </c>
      <c r="D130" s="23">
        <f>'Student Data'!F67</f>
        <v>0</v>
      </c>
      <c r="E130" s="22" t="str">
        <f>'Student Data'!F95</f>
        <v>B</v>
      </c>
      <c r="F130" s="24">
        <f>'Student Data'!M9</f>
        <v>0</v>
      </c>
      <c r="G130" s="24">
        <f>'Student Data'!M39</f>
        <v>0</v>
      </c>
      <c r="H130" s="24">
        <f>'Student Data'!M67</f>
        <v>0</v>
      </c>
      <c r="I130" s="24">
        <f>'Student Data'!M95</f>
        <v>0</v>
      </c>
      <c r="J130" s="36" t="str">
        <f>'Student Data'!T9</f>
        <v>B</v>
      </c>
      <c r="K130" s="36" t="str">
        <f>'Student Data'!T39</f>
        <v>B</v>
      </c>
      <c r="L130" s="36">
        <f>'Student Data'!T67</f>
        <v>0</v>
      </c>
      <c r="M130" s="36" t="str">
        <f>'Student Data'!T95</f>
        <v>B</v>
      </c>
    </row>
    <row r="131" spans="1:13" x14ac:dyDescent="0.25">
      <c r="A131" s="28">
        <v>7</v>
      </c>
      <c r="B131" s="22">
        <f>'Student Data'!F10</f>
        <v>0</v>
      </c>
      <c r="C131" s="23" t="str">
        <f>'Student Data'!F40</f>
        <v>B</v>
      </c>
      <c r="D131" s="23">
        <f>'Student Data'!F68</f>
        <v>0</v>
      </c>
      <c r="E131" s="22">
        <f>'Student Data'!F96</f>
        <v>0</v>
      </c>
      <c r="F131" s="24">
        <f>'Student Data'!M10</f>
        <v>0</v>
      </c>
      <c r="G131" s="24">
        <f>'Student Data'!M40</f>
        <v>0</v>
      </c>
      <c r="H131" s="24">
        <f>'Student Data'!M68</f>
        <v>0</v>
      </c>
      <c r="I131" s="24">
        <f>'Student Data'!M96</f>
        <v>0</v>
      </c>
      <c r="J131" s="36">
        <f>'Student Data'!T10</f>
        <v>0</v>
      </c>
      <c r="K131" s="36" t="str">
        <f>'Student Data'!T40</f>
        <v>B</v>
      </c>
      <c r="L131" s="36" t="str">
        <f>'Student Data'!T68</f>
        <v>B</v>
      </c>
      <c r="M131" s="36" t="str">
        <f>'Student Data'!T96</f>
        <v>B</v>
      </c>
    </row>
    <row r="132" spans="1:13" x14ac:dyDescent="0.25">
      <c r="A132" s="28">
        <v>8</v>
      </c>
      <c r="B132" s="22">
        <f>'Student Data'!F11</f>
        <v>0</v>
      </c>
      <c r="C132" s="23" t="str">
        <f>'Student Data'!F41</f>
        <v>B</v>
      </c>
      <c r="D132" s="23" t="str">
        <f>'Student Data'!F69</f>
        <v>B</v>
      </c>
      <c r="E132" s="22" t="str">
        <f>'Student Data'!F97</f>
        <v>B</v>
      </c>
      <c r="F132" s="24">
        <f>'Student Data'!M11</f>
        <v>0</v>
      </c>
      <c r="G132" s="24">
        <f>'Student Data'!M41</f>
        <v>0</v>
      </c>
      <c r="H132" s="24">
        <f>'Student Data'!M69</f>
        <v>0</v>
      </c>
      <c r="I132" s="24">
        <f>'Student Data'!M97</f>
        <v>0</v>
      </c>
      <c r="J132" s="36" t="str">
        <f>'Student Data'!T11</f>
        <v>B</v>
      </c>
      <c r="K132" s="36">
        <f>'Student Data'!T41</f>
        <v>0</v>
      </c>
      <c r="L132" s="36">
        <f>'Student Data'!T69</f>
        <v>0</v>
      </c>
      <c r="M132" s="36" t="str">
        <f>'Student Data'!T97</f>
        <v>N</v>
      </c>
    </row>
    <row r="133" spans="1:13" x14ac:dyDescent="0.25">
      <c r="A133" s="28">
        <v>9</v>
      </c>
      <c r="B133" s="22">
        <f>'Student Data'!F12</f>
        <v>0</v>
      </c>
      <c r="C133" s="23">
        <f>'Student Data'!F42</f>
        <v>0</v>
      </c>
      <c r="D133" s="23">
        <f>'Student Data'!F70</f>
        <v>0</v>
      </c>
      <c r="E133" s="22">
        <f>'Student Data'!F98</f>
        <v>0</v>
      </c>
      <c r="F133" s="24">
        <f>'Student Data'!M12</f>
        <v>0</v>
      </c>
      <c r="G133" s="24">
        <f>'Student Data'!M42</f>
        <v>0</v>
      </c>
      <c r="H133" s="24">
        <f>'Student Data'!M70</f>
        <v>0</v>
      </c>
      <c r="I133" s="24">
        <f>'Student Data'!M98</f>
        <v>0</v>
      </c>
      <c r="J133" s="36">
        <f>'Student Data'!T12</f>
        <v>0</v>
      </c>
      <c r="K133" s="36" t="str">
        <f>'Student Data'!T42</f>
        <v>B</v>
      </c>
      <c r="L133" s="36" t="str">
        <f>'Student Data'!T70</f>
        <v>B</v>
      </c>
      <c r="M133" s="36">
        <f>'Student Data'!T98</f>
        <v>0</v>
      </c>
    </row>
    <row r="134" spans="1:13" x14ac:dyDescent="0.25">
      <c r="A134" s="28">
        <v>10</v>
      </c>
      <c r="B134" s="22">
        <f>'Student Data'!F13</f>
        <v>0</v>
      </c>
      <c r="C134" s="23" t="str">
        <f>'Student Data'!F43</f>
        <v>B</v>
      </c>
      <c r="D134" s="23" t="str">
        <f>'Student Data'!F71</f>
        <v>B</v>
      </c>
      <c r="E134" s="22" t="str">
        <f>'Student Data'!F99</f>
        <v>B</v>
      </c>
      <c r="F134" s="24">
        <f>'Student Data'!M13</f>
        <v>0</v>
      </c>
      <c r="G134" s="24">
        <f>'Student Data'!M43</f>
        <v>0</v>
      </c>
      <c r="H134" s="24">
        <f>'Student Data'!M71</f>
        <v>0</v>
      </c>
      <c r="I134" s="24">
        <f>'Student Data'!M99</f>
        <v>0</v>
      </c>
      <c r="J134" s="36" t="str">
        <f>'Student Data'!T13</f>
        <v>B</v>
      </c>
      <c r="K134" s="36" t="str">
        <f>'Student Data'!T43</f>
        <v>B</v>
      </c>
      <c r="L134" s="36" t="str">
        <f>'Student Data'!T71</f>
        <v>B</v>
      </c>
      <c r="M134" s="36" t="str">
        <f>'Student Data'!T99</f>
        <v>B</v>
      </c>
    </row>
    <row r="135" spans="1:13" x14ac:dyDescent="0.25">
      <c r="A135" s="28">
        <v>11</v>
      </c>
      <c r="B135" s="22">
        <f>'Student Data'!F14</f>
        <v>0</v>
      </c>
      <c r="C135" s="23">
        <f>'Student Data'!F44</f>
        <v>0</v>
      </c>
      <c r="D135" s="23">
        <f>'Student Data'!F72</f>
        <v>0</v>
      </c>
      <c r="E135" s="22">
        <f>'Student Data'!F100</f>
        <v>0</v>
      </c>
      <c r="F135" s="24">
        <f>'Student Data'!M14</f>
        <v>0</v>
      </c>
      <c r="G135" s="24">
        <f>'Student Data'!M44</f>
        <v>0</v>
      </c>
      <c r="H135" s="24">
        <f>'Student Data'!M72</f>
        <v>0</v>
      </c>
      <c r="I135" s="24">
        <f>'Student Data'!M100</f>
        <v>0</v>
      </c>
      <c r="J135" s="36" t="str">
        <f>'Student Data'!T14</f>
        <v>B</v>
      </c>
      <c r="K135" s="36">
        <f>'Student Data'!T44</f>
        <v>0</v>
      </c>
      <c r="L135" s="36" t="str">
        <f>'Student Data'!T72</f>
        <v>B</v>
      </c>
      <c r="M135" s="36">
        <f>'Student Data'!T100</f>
        <v>0</v>
      </c>
    </row>
    <row r="136" spans="1:13" x14ac:dyDescent="0.25">
      <c r="A136" s="28">
        <v>12</v>
      </c>
      <c r="B136" s="22" t="str">
        <f>'Student Data'!F15</f>
        <v>B</v>
      </c>
      <c r="C136" s="23">
        <f>'Student Data'!F45</f>
        <v>0</v>
      </c>
      <c r="D136" s="23" t="str">
        <f>'Student Data'!F73</f>
        <v>B</v>
      </c>
      <c r="E136" s="22" t="str">
        <f>'Student Data'!F101</f>
        <v>B</v>
      </c>
      <c r="F136" s="24">
        <f>'Student Data'!M15</f>
        <v>0</v>
      </c>
      <c r="G136" s="24">
        <f>'Student Data'!M45</f>
        <v>0</v>
      </c>
      <c r="H136" s="24">
        <f>'Student Data'!M73</f>
        <v>0</v>
      </c>
      <c r="I136" s="24">
        <f>'Student Data'!M101</f>
        <v>0</v>
      </c>
      <c r="J136" s="36" t="str">
        <f>'Student Data'!T15</f>
        <v>B</v>
      </c>
      <c r="K136" s="36">
        <f>'Student Data'!T45</f>
        <v>0</v>
      </c>
      <c r="L136" s="36">
        <f>'Student Data'!T73</f>
        <v>0</v>
      </c>
      <c r="M136" s="36">
        <f>'Student Data'!T101</f>
        <v>0</v>
      </c>
    </row>
    <row r="137" spans="1:13" x14ac:dyDescent="0.25">
      <c r="A137" s="28">
        <v>13</v>
      </c>
      <c r="B137" s="22">
        <f>'Student Data'!F16</f>
        <v>0</v>
      </c>
      <c r="C137" s="23">
        <f>'Student Data'!F46</f>
        <v>0</v>
      </c>
      <c r="D137" s="23">
        <f>'Student Data'!F74</f>
        <v>0</v>
      </c>
      <c r="E137" s="22" t="str">
        <f>'Student Data'!F102</f>
        <v>B</v>
      </c>
      <c r="F137" s="24">
        <f>'Student Data'!M16</f>
        <v>0</v>
      </c>
      <c r="G137" s="24">
        <f>'Student Data'!M46</f>
        <v>0</v>
      </c>
      <c r="H137" s="24">
        <f>'Student Data'!M74</f>
        <v>0</v>
      </c>
      <c r="I137" s="24">
        <f>'Student Data'!M102</f>
        <v>0</v>
      </c>
      <c r="J137" s="36" t="str">
        <f>'Student Data'!T16</f>
        <v>B</v>
      </c>
      <c r="K137" s="36">
        <f>'Student Data'!T46</f>
        <v>0</v>
      </c>
      <c r="L137" s="36">
        <f>'Student Data'!T74</f>
        <v>0</v>
      </c>
      <c r="M137" s="36" t="str">
        <f>'Student Data'!T102</f>
        <v>B</v>
      </c>
    </row>
    <row r="138" spans="1:13" x14ac:dyDescent="0.25">
      <c r="A138" s="28">
        <v>14</v>
      </c>
      <c r="B138" s="22" t="str">
        <f>'Student Data'!F17</f>
        <v>B</v>
      </c>
      <c r="C138" s="23" t="str">
        <f>'Student Data'!F47</f>
        <v>B</v>
      </c>
      <c r="D138" s="23" t="str">
        <f>'Student Data'!F75</f>
        <v>B</v>
      </c>
      <c r="E138" s="22" t="str">
        <f>'Student Data'!F103</f>
        <v>B</v>
      </c>
      <c r="F138" s="24">
        <f>'Student Data'!M17</f>
        <v>0</v>
      </c>
      <c r="G138" s="24">
        <f>'Student Data'!M47</f>
        <v>0</v>
      </c>
      <c r="H138" s="24">
        <f>'Student Data'!M75</f>
        <v>0</v>
      </c>
      <c r="I138" s="24">
        <f>'Student Data'!M103</f>
        <v>0</v>
      </c>
      <c r="J138" s="36">
        <f>'Student Data'!T17</f>
        <v>0</v>
      </c>
      <c r="K138" s="36" t="str">
        <f>'Student Data'!T47</f>
        <v>B</v>
      </c>
      <c r="L138" s="36">
        <f>'Student Data'!T75</f>
        <v>0</v>
      </c>
      <c r="M138" s="36" t="str">
        <f>'Student Data'!T103</f>
        <v>B</v>
      </c>
    </row>
    <row r="139" spans="1:13" x14ac:dyDescent="0.25">
      <c r="A139" s="28">
        <v>15</v>
      </c>
      <c r="B139" s="22">
        <f>'Student Data'!F18</f>
        <v>0</v>
      </c>
      <c r="C139" s="23" t="str">
        <f>'Student Data'!F48</f>
        <v>B</v>
      </c>
      <c r="D139" s="23">
        <f>'Student Data'!F76</f>
        <v>0</v>
      </c>
      <c r="E139" s="22" t="str">
        <f>'Student Data'!F104</f>
        <v>B</v>
      </c>
      <c r="F139" s="24">
        <f>'Student Data'!M18</f>
        <v>0</v>
      </c>
      <c r="G139" s="24">
        <f>'Student Data'!M48</f>
        <v>0</v>
      </c>
      <c r="H139" s="24">
        <f>'Student Data'!M76</f>
        <v>0</v>
      </c>
      <c r="I139" s="24">
        <f>'Student Data'!M104</f>
        <v>0</v>
      </c>
      <c r="J139" s="36" t="str">
        <f>'Student Data'!T18</f>
        <v>B</v>
      </c>
      <c r="K139" s="36" t="str">
        <f>'Student Data'!T48</f>
        <v>B</v>
      </c>
      <c r="L139" s="36" t="str">
        <f>'Student Data'!T76</f>
        <v>B</v>
      </c>
      <c r="M139" s="36">
        <f>'Student Data'!T104</f>
        <v>0</v>
      </c>
    </row>
    <row r="140" spans="1:13" x14ac:dyDescent="0.25">
      <c r="A140" s="28">
        <v>16</v>
      </c>
      <c r="B140" s="22" t="str">
        <f>'Student Data'!F19</f>
        <v>B</v>
      </c>
      <c r="C140" s="23">
        <f>'Student Data'!F49</f>
        <v>0</v>
      </c>
      <c r="D140" s="23" t="str">
        <f>'Student Data'!F77</f>
        <v>B</v>
      </c>
      <c r="E140" s="22">
        <f>'Student Data'!F105</f>
        <v>0</v>
      </c>
      <c r="F140" s="24">
        <f>'Student Data'!M19</f>
        <v>0</v>
      </c>
      <c r="G140" s="24">
        <f>'Student Data'!M49</f>
        <v>0</v>
      </c>
      <c r="H140" s="24">
        <f>'Student Data'!M77</f>
        <v>0</v>
      </c>
      <c r="I140" s="24">
        <f>'Student Data'!M105</f>
        <v>0</v>
      </c>
      <c r="J140" s="36">
        <f>'Student Data'!T19</f>
        <v>0</v>
      </c>
      <c r="K140" s="36">
        <f>'Student Data'!T49</f>
        <v>0</v>
      </c>
      <c r="L140" s="36" t="str">
        <f>'Student Data'!T77</f>
        <v>B</v>
      </c>
      <c r="M140" s="36">
        <f>'Student Data'!T105</f>
        <v>0</v>
      </c>
    </row>
    <row r="141" spans="1:13" x14ac:dyDescent="0.25">
      <c r="A141" s="28">
        <v>17</v>
      </c>
      <c r="B141" s="22">
        <f>'Student Data'!F20</f>
        <v>0</v>
      </c>
      <c r="C141" s="23">
        <f>'Student Data'!F50</f>
        <v>0</v>
      </c>
      <c r="D141" s="23">
        <f>'Student Data'!F78</f>
        <v>0</v>
      </c>
      <c r="E141" s="22">
        <f>'Student Data'!F106</f>
        <v>0</v>
      </c>
      <c r="F141" s="24">
        <f>'Student Data'!M20</f>
        <v>0</v>
      </c>
      <c r="G141" s="24">
        <f>'Student Data'!M50</f>
        <v>0</v>
      </c>
      <c r="H141" s="24">
        <f>'Student Data'!M78</f>
        <v>0</v>
      </c>
      <c r="I141" s="24">
        <f>'Student Data'!M106</f>
        <v>0</v>
      </c>
      <c r="J141" s="36" t="str">
        <f>'Student Data'!T20</f>
        <v>B</v>
      </c>
      <c r="K141" s="36" t="str">
        <f>'Student Data'!T50</f>
        <v>B</v>
      </c>
      <c r="L141" s="36" t="str">
        <f>'Student Data'!T78</f>
        <v>B</v>
      </c>
      <c r="M141" s="36" t="str">
        <f>'Student Data'!T106</f>
        <v>B</v>
      </c>
    </row>
    <row r="142" spans="1:13" x14ac:dyDescent="0.25">
      <c r="A142" s="28">
        <v>18</v>
      </c>
      <c r="B142" s="22">
        <f>'Student Data'!F21</f>
        <v>0</v>
      </c>
      <c r="C142" s="23">
        <f>'Student Data'!F51</f>
        <v>0</v>
      </c>
      <c r="D142" s="23" t="str">
        <f>'Student Data'!F79</f>
        <v>B</v>
      </c>
      <c r="E142" s="22" t="str">
        <f>'Student Data'!F107</f>
        <v>B</v>
      </c>
      <c r="F142" s="24">
        <f>'Student Data'!M21</f>
        <v>0</v>
      </c>
      <c r="G142" s="24">
        <f>'Student Data'!M51</f>
        <v>0</v>
      </c>
      <c r="H142" s="24">
        <f>'Student Data'!M79</f>
        <v>0</v>
      </c>
      <c r="I142" s="24">
        <f>'Student Data'!T46</f>
        <v>0</v>
      </c>
      <c r="J142" s="36" t="str">
        <f>'Student Data'!T21</f>
        <v>B</v>
      </c>
      <c r="K142" s="36" t="str">
        <f>'Student Data'!T51</f>
        <v>B</v>
      </c>
      <c r="L142" s="36">
        <f>'Student Data'!T79</f>
        <v>0</v>
      </c>
      <c r="M142" s="36" t="str">
        <f>'Student Data'!T107</f>
        <v>B</v>
      </c>
    </row>
    <row r="143" spans="1:13" x14ac:dyDescent="0.25">
      <c r="A143" s="28">
        <v>19</v>
      </c>
      <c r="B143" s="22">
        <f>'Student Data'!F22</f>
        <v>0</v>
      </c>
      <c r="C143" s="23">
        <f>'Student Data'!F52</f>
        <v>0</v>
      </c>
      <c r="D143" s="23" t="str">
        <f>'Student Data'!F80</f>
        <v>B</v>
      </c>
      <c r="E143" s="22" t="str">
        <f>'Student Data'!F108</f>
        <v>B</v>
      </c>
      <c r="F143" s="24">
        <f>'Student Data'!M22</f>
        <v>0</v>
      </c>
      <c r="G143" s="24">
        <f>'Student Data'!M52</f>
        <v>0</v>
      </c>
      <c r="H143" s="24">
        <f>'Student Data'!M80</f>
        <v>0</v>
      </c>
      <c r="I143" s="24">
        <f>'Student Data'!M108</f>
        <v>0</v>
      </c>
      <c r="J143" s="36">
        <f>'Student Data'!T22</f>
        <v>0</v>
      </c>
      <c r="K143" s="36" t="str">
        <f>'Student Data'!T52</f>
        <v>B</v>
      </c>
      <c r="L143" s="36">
        <f>'Student Data'!T80</f>
        <v>0</v>
      </c>
      <c r="M143" s="36" t="str">
        <f>'Student Data'!T108</f>
        <v>B</v>
      </c>
    </row>
    <row r="144" spans="1:13" x14ac:dyDescent="0.25">
      <c r="A144" s="28">
        <v>20</v>
      </c>
      <c r="B144" s="22" t="str">
        <f>'Student Data'!F23</f>
        <v>B</v>
      </c>
      <c r="C144" s="23" t="str">
        <f>'Student Data'!F53</f>
        <v>B</v>
      </c>
      <c r="D144" s="23" t="str">
        <f>'Student Data'!F81</f>
        <v>B</v>
      </c>
      <c r="E144" s="22" t="str">
        <f>'Student Data'!F109</f>
        <v>B</v>
      </c>
      <c r="F144" s="24">
        <f>'Student Data'!M23</f>
        <v>0</v>
      </c>
      <c r="G144" s="24">
        <f>'Student Data'!M53</f>
        <v>0</v>
      </c>
      <c r="H144" s="24">
        <f>'Student Data'!M81</f>
        <v>0</v>
      </c>
      <c r="I144" s="24">
        <f>'Student Data'!M109</f>
        <v>0</v>
      </c>
      <c r="J144" s="36">
        <f>'Student Data'!T23</f>
        <v>0</v>
      </c>
      <c r="K144" s="36" t="str">
        <f>'Student Data'!T53</f>
        <v>B</v>
      </c>
      <c r="L144" s="36">
        <f>'Student Data'!T81</f>
        <v>0</v>
      </c>
      <c r="M144" s="36">
        <f>'Student Data'!T109</f>
        <v>0</v>
      </c>
    </row>
    <row r="145" spans="1:13" x14ac:dyDescent="0.25">
      <c r="A145" s="28">
        <v>21</v>
      </c>
      <c r="B145" s="22" t="str">
        <f>'Student Data'!F24</f>
        <v>B</v>
      </c>
      <c r="C145" s="23" t="str">
        <f>'Student Data'!F54</f>
        <v>B</v>
      </c>
      <c r="D145" s="23">
        <f>'Student Data'!F82</f>
        <v>0</v>
      </c>
      <c r="E145" s="22">
        <f>'Student Data'!F110</f>
        <v>0</v>
      </c>
      <c r="F145" s="24">
        <f>'Student Data'!M24</f>
        <v>0</v>
      </c>
      <c r="G145" s="24">
        <f>'Student Data'!M54</f>
        <v>0</v>
      </c>
      <c r="H145" s="24">
        <f>'Student Data'!M82</f>
        <v>0</v>
      </c>
      <c r="I145" s="24">
        <f>'Student Data'!M110</f>
        <v>0</v>
      </c>
      <c r="J145" s="36">
        <f>'Student Data'!T24</f>
        <v>0</v>
      </c>
      <c r="K145" s="36">
        <f>'Student Data'!T54</f>
        <v>0</v>
      </c>
      <c r="L145" s="36" t="str">
        <f>'Student Data'!T82</f>
        <v>B</v>
      </c>
      <c r="M145" s="36">
        <f>'Student Data'!T110</f>
        <v>0</v>
      </c>
    </row>
    <row r="146" spans="1:13" x14ac:dyDescent="0.25">
      <c r="A146" s="28">
        <v>22</v>
      </c>
      <c r="B146" s="22" t="str">
        <f>'Student Data'!F25</f>
        <v>B</v>
      </c>
      <c r="C146" s="23" t="str">
        <f>'Student Data'!F55</f>
        <v>B</v>
      </c>
      <c r="D146" s="23">
        <f>'Student Data'!F83</f>
        <v>0</v>
      </c>
      <c r="E146" s="22" t="str">
        <f>'Student Data'!F111</f>
        <v>B</v>
      </c>
      <c r="F146" s="24">
        <f>'Student Data'!M25</f>
        <v>0</v>
      </c>
      <c r="G146" s="24">
        <f>'Student Data'!M55</f>
        <v>0</v>
      </c>
      <c r="H146" s="24">
        <f>'Student Data'!M83</f>
        <v>0</v>
      </c>
      <c r="I146" s="24">
        <f>'Student Data'!M111</f>
        <v>0</v>
      </c>
      <c r="J146" s="36">
        <f>'Student Data'!T25</f>
        <v>0</v>
      </c>
      <c r="K146" s="36" t="str">
        <f>'Student Data'!T55</f>
        <v>B</v>
      </c>
      <c r="L146" s="36">
        <f>'Student Data'!T83</f>
        <v>0</v>
      </c>
      <c r="M146" s="36" t="str">
        <f>'Student Data'!T111</f>
        <v>B</v>
      </c>
    </row>
    <row r="147" spans="1:13" x14ac:dyDescent="0.25">
      <c r="A147" s="28">
        <v>23</v>
      </c>
      <c r="B147" s="22" t="str">
        <f>'Student Data'!F26</f>
        <v>B</v>
      </c>
      <c r="C147" s="23" t="str">
        <f>'Student Data'!F56</f>
        <v>B</v>
      </c>
      <c r="D147" s="23">
        <f>'Student Data'!F84</f>
        <v>0</v>
      </c>
      <c r="E147" s="22" t="str">
        <f>'Student Data'!F112</f>
        <v>B</v>
      </c>
      <c r="F147" s="24">
        <f>'Student Data'!M26</f>
        <v>0</v>
      </c>
      <c r="G147" s="24">
        <f>'Student Data'!M56</f>
        <v>0</v>
      </c>
      <c r="H147" s="24">
        <f>'Student Data'!M84</f>
        <v>0</v>
      </c>
      <c r="I147" s="24">
        <f>'Student Data'!M112</f>
        <v>0</v>
      </c>
      <c r="J147" s="36">
        <f>'Student Data'!T26</f>
        <v>0</v>
      </c>
      <c r="K147" s="36">
        <f>'Student Data'!T56</f>
        <v>0</v>
      </c>
      <c r="L147" s="36" t="str">
        <f>'Student Data'!T84</f>
        <v>B</v>
      </c>
      <c r="M147" s="36">
        <f>'Student Data'!T112</f>
        <v>0</v>
      </c>
    </row>
    <row r="148" spans="1:13" x14ac:dyDescent="0.25">
      <c r="A148" s="28">
        <v>24</v>
      </c>
      <c r="B148" s="22" t="str">
        <f>'Student Data'!F27</f>
        <v>B</v>
      </c>
      <c r="C148" s="23" t="str">
        <f>'Student Data'!F57</f>
        <v>B</v>
      </c>
      <c r="D148" s="23">
        <f>'Student Data'!F85</f>
        <v>0</v>
      </c>
      <c r="E148" s="22">
        <f>'Student Data'!F113</f>
        <v>0</v>
      </c>
      <c r="F148" s="24">
        <f>'Student Data'!M27</f>
        <v>0</v>
      </c>
      <c r="G148" s="24">
        <f>'Student Data'!M57</f>
        <v>0</v>
      </c>
      <c r="H148" s="24">
        <f>'Student Data'!M85</f>
        <v>0</v>
      </c>
      <c r="I148" s="24">
        <f>'Student Data'!M113</f>
        <v>0</v>
      </c>
      <c r="J148" s="36">
        <f>'Student Data'!T27</f>
        <v>0</v>
      </c>
      <c r="K148" s="36">
        <f>'Student Data'!T57</f>
        <v>0</v>
      </c>
      <c r="L148" s="36" t="str">
        <f>'Student Data'!T85</f>
        <v>B</v>
      </c>
      <c r="M148" s="36">
        <f>'Student Data'!T113</f>
        <v>0</v>
      </c>
    </row>
    <row r="149" spans="1:13" x14ac:dyDescent="0.25">
      <c r="A149" s="30">
        <v>25</v>
      </c>
      <c r="B149" s="22" t="str">
        <f>'Student Data'!F28</f>
        <v>B</v>
      </c>
      <c r="C149" s="23">
        <f>'Student Data'!F58</f>
        <v>0</v>
      </c>
      <c r="D149" s="23">
        <f>'Student Data'!F86</f>
        <v>0</v>
      </c>
      <c r="E149" s="22">
        <f>'Student Data'!F114</f>
        <v>0</v>
      </c>
      <c r="F149" s="24">
        <f>'Student Data'!M28</f>
        <v>0</v>
      </c>
      <c r="G149" s="24">
        <f>'Student Data'!M58</f>
        <v>0</v>
      </c>
      <c r="H149" s="24">
        <f>'Student Data'!M86</f>
        <v>0</v>
      </c>
      <c r="I149" s="24">
        <f>'Student Data'!M114</f>
        <v>0</v>
      </c>
      <c r="J149" s="36">
        <f>'Student Data'!T28</f>
        <v>0</v>
      </c>
      <c r="K149" s="36">
        <f>'Student Data'!T58</f>
        <v>0</v>
      </c>
      <c r="L149" s="36" t="str">
        <f>'Student Data'!T86</f>
        <v>B</v>
      </c>
      <c r="M149" s="36">
        <f>'Student Data'!T114</f>
        <v>0</v>
      </c>
    </row>
    <row r="150" spans="1:13" x14ac:dyDescent="0.25">
      <c r="A150" s="30">
        <v>26</v>
      </c>
      <c r="B150" s="22">
        <f>'Student Data'!F29</f>
        <v>0</v>
      </c>
      <c r="C150" s="23">
        <f>'Student Data'!F59</f>
        <v>0</v>
      </c>
      <c r="D150" s="23" t="str">
        <f>'Student Data'!F87</f>
        <v>B</v>
      </c>
      <c r="E150" s="22">
        <f>'Student Data'!F115</f>
        <v>0</v>
      </c>
      <c r="F150" s="24">
        <f>'Student Data'!M29</f>
        <v>0</v>
      </c>
      <c r="G150" s="24">
        <f>'Student Data'!M59</f>
        <v>0</v>
      </c>
      <c r="H150" s="24">
        <f>'Student Data'!M87</f>
        <v>0</v>
      </c>
      <c r="I150" s="24">
        <f>'Student Data'!M115</f>
        <v>0</v>
      </c>
      <c r="J150" s="36">
        <f>'Student Data'!T29</f>
        <v>0</v>
      </c>
      <c r="K150" s="36">
        <f>'Student Data'!T59</f>
        <v>0</v>
      </c>
      <c r="L150" s="36">
        <f>'Student Data'!T87</f>
        <v>0</v>
      </c>
      <c r="M150" s="36">
        <f>'Student Data'!T115</f>
        <v>0</v>
      </c>
    </row>
    <row r="151" spans="1:13" x14ac:dyDescent="0.25">
      <c r="A151" s="30">
        <v>27</v>
      </c>
      <c r="B151" s="22">
        <f>'Student Data'!F30</f>
        <v>0</v>
      </c>
      <c r="C151" s="23">
        <f>'Student Data'!F60</f>
        <v>0</v>
      </c>
      <c r="D151" s="23">
        <f>'Student Data'!F88</f>
        <v>0</v>
      </c>
      <c r="E151" s="22">
        <f>'Student Data'!F116</f>
        <v>0</v>
      </c>
      <c r="F151" s="24">
        <f>'Student Data'!M30</f>
        <v>0</v>
      </c>
      <c r="G151" s="24">
        <f>'Student Data'!M60</f>
        <v>0</v>
      </c>
      <c r="H151" s="24">
        <f>'Student Data'!M88</f>
        <v>0</v>
      </c>
      <c r="I151" s="24">
        <f>'Student Data'!M116</f>
        <v>0</v>
      </c>
      <c r="J151" s="36">
        <f>'Student Data'!T30</f>
        <v>0</v>
      </c>
      <c r="K151" s="36">
        <f>'Student Data'!T60</f>
        <v>0</v>
      </c>
      <c r="L151" s="36">
        <f>'Student Data'!T88</f>
        <v>0</v>
      </c>
      <c r="M151" s="36">
        <f>'Student Data'!T116</f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AV112"/>
  <sheetViews>
    <sheetView showGridLines="0" tabSelected="1" view="pageBreakPreview" zoomScale="85" zoomScaleNormal="100" zoomScaleSheetLayoutView="85" workbookViewId="0">
      <selection activeCell="M42" sqref="M42"/>
    </sheetView>
  </sheetViews>
  <sheetFormatPr defaultColWidth="9.140625" defaultRowHeight="15" x14ac:dyDescent="0.25"/>
  <cols>
    <col min="1" max="1" width="9.140625" style="39"/>
    <col min="2" max="2" width="17.7109375" style="39" customWidth="1"/>
    <col min="3" max="3" width="30.7109375" style="39" customWidth="1"/>
    <col min="4" max="16" width="8.7109375" style="39" customWidth="1"/>
    <col min="17" max="20" width="9.140625" style="39"/>
    <col min="21" max="48" width="9.140625" style="39" hidden="1" customWidth="1"/>
    <col min="49" max="16384" width="9.140625" style="39"/>
  </cols>
  <sheetData>
    <row r="2" spans="1:22" ht="30" x14ac:dyDescent="0.4">
      <c r="B2" s="40" t="s">
        <v>1</v>
      </c>
    </row>
    <row r="4" spans="1:22" ht="31.5" x14ac:dyDescent="0.5">
      <c r="A4" s="41" t="s">
        <v>40</v>
      </c>
    </row>
    <row r="5" spans="1:22" ht="20.100000000000001" customHeight="1" x14ac:dyDescent="0.25">
      <c r="A5" s="67" t="str">
        <f>Cover!G14</f>
        <v>Term 1</v>
      </c>
      <c r="B5" s="68" t="s">
        <v>195</v>
      </c>
      <c r="C5" s="69" t="str">
        <f>Cover!L14</f>
        <v>2018 / 2019</v>
      </c>
      <c r="D5" s="54"/>
      <c r="R5" s="67" t="s">
        <v>41</v>
      </c>
      <c r="S5" s="70">
        <f>Cover!C14</f>
        <v>9.1</v>
      </c>
      <c r="T5" s="70"/>
    </row>
    <row r="7" spans="1:22" x14ac:dyDescent="0.25">
      <c r="A7" s="163" t="s">
        <v>27</v>
      </c>
      <c r="B7" s="163" t="s">
        <v>28</v>
      </c>
      <c r="C7" s="163" t="s">
        <v>29</v>
      </c>
      <c r="D7" s="165" t="s">
        <v>30</v>
      </c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3" t="s">
        <v>169</v>
      </c>
      <c r="R7" s="163" t="s">
        <v>170</v>
      </c>
      <c r="S7" s="163" t="s">
        <v>171</v>
      </c>
      <c r="T7" s="79"/>
    </row>
    <row r="8" spans="1:22" x14ac:dyDescent="0.25">
      <c r="A8" s="163"/>
      <c r="B8" s="163"/>
      <c r="C8" s="163"/>
      <c r="D8" s="71" t="str">
        <f>HLOOKUP($S$5,subject1,2,1)</f>
        <v>Agama</v>
      </c>
      <c r="E8" s="71" t="str">
        <f>HLOOKUP($S$5,subject1,3,1)</f>
        <v>PKN</v>
      </c>
      <c r="F8" s="71" t="str">
        <f>HLOOKUP($S$5,subject1,4,1)</f>
        <v>B. Indo</v>
      </c>
      <c r="G8" s="71" t="str">
        <f>HLOOKUP($S$5,subject1,5,1)</f>
        <v xml:space="preserve">English </v>
      </c>
      <c r="H8" s="71" t="str">
        <f>HLOOKUP($S$5,subject1,6,1)</f>
        <v xml:space="preserve">Math </v>
      </c>
      <c r="I8" s="154" t="str">
        <f>HLOOKUP($S$5,subject1,7,1)</f>
        <v>Biology</v>
      </c>
      <c r="J8" s="154" t="str">
        <f>HLOOKUP($S$5,subject1,8,1)</f>
        <v>Physics</v>
      </c>
      <c r="K8" s="154" t="str">
        <f>HLOOKUP($S$5,subject1,9,1)</f>
        <v>Chem</v>
      </c>
      <c r="L8" s="154" t="str">
        <f>HLOOKUP($S$5,subject1,10,1)</f>
        <v>Business</v>
      </c>
      <c r="M8" s="154" t="str">
        <f>HLOOKUP($S$5,subject1,11,1)</f>
        <v>Mand</v>
      </c>
      <c r="N8" s="154" t="str">
        <f>HLOOKUP($S$5,subject1,12,1)</f>
        <v>ICT</v>
      </c>
      <c r="O8" s="154" t="str">
        <f>HLOOKUP($S$5,subject1,13,1)</f>
        <v>ICA</v>
      </c>
      <c r="P8" s="71" t="str">
        <f>HLOOKUP($S$5,subject1,14,1)</f>
        <v>PE</v>
      </c>
      <c r="Q8" s="163"/>
      <c r="R8" s="163"/>
      <c r="S8" s="163"/>
      <c r="T8" s="79"/>
    </row>
    <row r="9" spans="1:22" x14ac:dyDescent="0.25">
      <c r="A9" s="72">
        <f>IF(C9=" "," ",1)</f>
        <v>1</v>
      </c>
      <c r="B9" s="73" t="str">
        <f>IF(C9=" "," ",HLOOKUP($S$5,id,2,1))</f>
        <v>757 / 0046197583</v>
      </c>
      <c r="C9" s="74" t="str">
        <f>IF(HLOOKUP($S$5,name,3,TRUE)=0," ",HLOOKUP($S$5,name,3,TRUE))</f>
        <v>ADELBERT REINHARD RIANG</v>
      </c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5">
        <f t="shared" ref="Q9:Q32" si="0">IF(A9=" "," ",SUM(D9:P9))</f>
        <v>0</v>
      </c>
      <c r="R9" s="75" t="e">
        <f t="shared" ref="R9:R32" si="1">IF(A9=" "," ",ROUND(AVERAGE(D9:P9),2))</f>
        <v>#DIV/0!</v>
      </c>
      <c r="S9" s="75">
        <f>IF(A9=" "," ",RANK(Q9,$Q$9:$Q$34))</f>
        <v>1</v>
      </c>
      <c r="T9" s="80"/>
      <c r="V9" s="81">
        <f>IF(C9=" "," ",HLOOKUP($S$5,mand,2,1))</f>
        <v>0</v>
      </c>
    </row>
    <row r="10" spans="1:22" x14ac:dyDescent="0.25">
      <c r="A10" s="72">
        <f>IF(C10=" "," ",2)</f>
        <v>2</v>
      </c>
      <c r="B10" s="73" t="str">
        <f>IF(C10=" "," ",HLOOKUP($S$5,id,3,1))</f>
        <v>758 / 0042039979</v>
      </c>
      <c r="C10" s="74" t="str">
        <f>IF(HLOOKUP($S$5,name,4,TRUE)=0," ",HLOOKUP($S$5,name,4,TRUE))</f>
        <v>ALENA PANNA SOEGIANTO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5">
        <f t="shared" si="0"/>
        <v>0</v>
      </c>
      <c r="R10" s="75" t="e">
        <f t="shared" si="1"/>
        <v>#DIV/0!</v>
      </c>
      <c r="S10" s="75">
        <f t="shared" ref="S10:S33" si="2">IF(A10=" "," ",RANK(Q10,$Q$9:$Q$34))</f>
        <v>1</v>
      </c>
      <c r="T10" s="80"/>
      <c r="V10" s="81">
        <f>IF(C10=" "," ",HLOOKUP($S$5,mand,3,1))</f>
        <v>0</v>
      </c>
    </row>
    <row r="11" spans="1:22" x14ac:dyDescent="0.25">
      <c r="A11" s="72">
        <f>IF(C11=" "," ",3)</f>
        <v>3</v>
      </c>
      <c r="B11" s="73" t="str">
        <f>IF(C11=" "," ",HLOOKUP($S$5,id,4,1))</f>
        <v>759 / 0041875773</v>
      </c>
      <c r="C11" s="74" t="str">
        <f>IF(HLOOKUP($S$5,name,5,TRUE)=0," ",HLOOKUP($S$5,name,5,TRUE))</f>
        <v>AMARANTA KENNISHIA DIMATEA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5">
        <f t="shared" si="0"/>
        <v>0</v>
      </c>
      <c r="R11" s="75" t="e">
        <f t="shared" si="1"/>
        <v>#DIV/0!</v>
      </c>
      <c r="S11" s="75">
        <f t="shared" si="2"/>
        <v>1</v>
      </c>
      <c r="T11" s="80"/>
      <c r="V11" s="81" t="str">
        <f>IF(C11=" "," ",HLOOKUP($S$5,mand,4,1))</f>
        <v>B</v>
      </c>
    </row>
    <row r="12" spans="1:22" x14ac:dyDescent="0.25">
      <c r="A12" s="72">
        <f>IF(C12=" "," ",4)</f>
        <v>4</v>
      </c>
      <c r="B12" s="73" t="str">
        <f>IF(C12=" "," ",HLOOKUP($S$5,id,5,1))</f>
        <v>767 / 0041795656</v>
      </c>
      <c r="C12" s="74" t="str">
        <f>IF(HLOOKUP($S$5,name,6,TRUE)=0," ",HLOOKUP($S$5,name,6,TRUE))</f>
        <v>CHARISSA NINA JONATHAN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5">
        <f t="shared" si="0"/>
        <v>0</v>
      </c>
      <c r="R12" s="75" t="e">
        <f t="shared" si="1"/>
        <v>#DIV/0!</v>
      </c>
      <c r="S12" s="75">
        <f t="shared" si="2"/>
        <v>1</v>
      </c>
      <c r="T12" s="80"/>
      <c r="V12" s="81">
        <f>IF(C12=" "," ",HLOOKUP($S$5,mand,5,1))</f>
        <v>0</v>
      </c>
    </row>
    <row r="13" spans="1:22" x14ac:dyDescent="0.25">
      <c r="A13" s="72">
        <f>IF(C13=" "," ",5)</f>
        <v>5</v>
      </c>
      <c r="B13" s="73" t="str">
        <f>IF(C13=" "," ",HLOOKUP($S$5,id,6,1))</f>
        <v>770 / 0045192456</v>
      </c>
      <c r="C13" s="74" t="str">
        <f>IF(HLOOKUP($S$5,name,7,TRUE)=0," ",HLOOKUP($S$5,name,7,TRUE))</f>
        <v>CHRISTIAN NATHANAEL P.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5">
        <f t="shared" si="0"/>
        <v>0</v>
      </c>
      <c r="R13" s="75" t="e">
        <f t="shared" si="1"/>
        <v>#DIV/0!</v>
      </c>
      <c r="S13" s="75">
        <f t="shared" si="2"/>
        <v>1</v>
      </c>
      <c r="T13" s="80"/>
      <c r="V13" s="81" t="str">
        <f>IF(C13=" "," ",HLOOKUP($S$5,mand,6,1))</f>
        <v>B</v>
      </c>
    </row>
    <row r="14" spans="1:22" x14ac:dyDescent="0.25">
      <c r="A14" s="72">
        <f>IF(C14=" "," ",6)</f>
        <v>6</v>
      </c>
      <c r="B14" s="73" t="str">
        <f>IF(C14=" "," ",HLOOKUP($S$5,id,7,1))</f>
        <v>771 / 0043891453</v>
      </c>
      <c r="C14" s="74" t="str">
        <f>IF(HLOOKUP($S$5,name,8,TRUE)=0," ",HLOOKUP($S$5,name,8,TRUE))</f>
        <v>CHRISTOPHE ANDRE  AGUNG LAWIN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5">
        <f t="shared" si="0"/>
        <v>0</v>
      </c>
      <c r="R14" s="75" t="e">
        <f t="shared" si="1"/>
        <v>#DIV/0!</v>
      </c>
      <c r="S14" s="75">
        <f t="shared" si="2"/>
        <v>1</v>
      </c>
      <c r="T14" s="80"/>
      <c r="V14" s="81">
        <f>IF(C14=" "," ",HLOOKUP($S$5,mand,7,1))</f>
        <v>0</v>
      </c>
    </row>
    <row r="15" spans="1:22" x14ac:dyDescent="0.25">
      <c r="A15" s="72">
        <f>IF(C15=" "," ",7)</f>
        <v>7</v>
      </c>
      <c r="B15" s="73" t="str">
        <f>IF(C15=" "," ",HLOOKUP($S$5,id,8,1))</f>
        <v>776 / 0040871555</v>
      </c>
      <c r="C15" s="74" t="str">
        <f>IF(HLOOKUP($S$5,name,9,TRUE)=0," ",HLOOKUP($S$5,name,9,TRUE))</f>
        <v>COLLIN DIMAS SANTOSO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5">
        <f t="shared" si="0"/>
        <v>0</v>
      </c>
      <c r="R15" s="75" t="e">
        <f t="shared" si="1"/>
        <v>#DIV/0!</v>
      </c>
      <c r="S15" s="75">
        <f t="shared" si="2"/>
        <v>1</v>
      </c>
      <c r="T15" s="80"/>
      <c r="V15" s="81" t="str">
        <f>IF(C15=" "," ",HLOOKUP($S$5,mand,8,1))</f>
        <v>B</v>
      </c>
    </row>
    <row r="16" spans="1:22" x14ac:dyDescent="0.25">
      <c r="A16" s="72">
        <f>IF(C16=" "," ",8)</f>
        <v>8</v>
      </c>
      <c r="B16" s="73" t="str">
        <f>IF(C16=" "," ",HLOOKUP($S$5,id,9,1))</f>
        <v>777 / 0042039732</v>
      </c>
      <c r="C16" s="74" t="str">
        <f>IF(HLOOKUP($S$5,name,10,TRUE)=0," ",HLOOKUP($S$5,name,10,TRUE))</f>
        <v>CRYSTALIA REDEMPTA SHANNIQUE AVEZA WANGSA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5">
        <f t="shared" si="0"/>
        <v>0</v>
      </c>
      <c r="R16" s="75" t="e">
        <f t="shared" si="1"/>
        <v>#DIV/0!</v>
      </c>
      <c r="S16" s="75">
        <f t="shared" si="2"/>
        <v>1</v>
      </c>
      <c r="T16" s="80"/>
      <c r="V16" s="81">
        <f>IF(C16=" "," ",HLOOKUP($S$5,mand,9,1))</f>
        <v>0</v>
      </c>
    </row>
    <row r="17" spans="1:22" x14ac:dyDescent="0.25">
      <c r="A17" s="72">
        <f>IF(C17=" "," ",9)</f>
        <v>9</v>
      </c>
      <c r="B17" s="73" t="str">
        <f>IF(C17=" "," ",HLOOKUP($S$5,id,10,1))</f>
        <v>781 / 0031895380</v>
      </c>
      <c r="C17" s="74" t="str">
        <f>IF(HLOOKUP($S$5,name,11,TRUE)=0," ",HLOOKUP($S$5,name,11,TRUE))</f>
        <v>DONI ANTONIO PUTRA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5">
        <f t="shared" si="0"/>
        <v>0</v>
      </c>
      <c r="R17" s="75" t="e">
        <f t="shared" si="1"/>
        <v>#DIV/0!</v>
      </c>
      <c r="S17" s="75">
        <f t="shared" si="2"/>
        <v>1</v>
      </c>
      <c r="T17" s="80"/>
      <c r="V17" s="81" t="str">
        <f>IF(C17=" "," ",HLOOKUP($S$5,mand,10,1))</f>
        <v>B</v>
      </c>
    </row>
    <row r="18" spans="1:22" x14ac:dyDescent="0.25">
      <c r="A18" s="72">
        <f>IF(C18=" "," ",10)</f>
        <v>10</v>
      </c>
      <c r="B18" s="73" t="str">
        <f>IF(C18=" "," ",HLOOKUP($S$5,id,11,1))</f>
        <v>782 / 0029370221</v>
      </c>
      <c r="C18" s="74" t="str">
        <f>IF(HLOOKUP($S$5,name,12,TRUE)=0," ",HLOOKUP($S$5,name,12,TRUE))</f>
        <v>EUGENE JEREMY KIE TOREDJO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5">
        <f t="shared" si="0"/>
        <v>0</v>
      </c>
      <c r="R18" s="75" t="e">
        <f t="shared" si="1"/>
        <v>#DIV/0!</v>
      </c>
      <c r="S18" s="75">
        <f t="shared" si="2"/>
        <v>1</v>
      </c>
      <c r="T18" s="80"/>
      <c r="V18" s="81" t="str">
        <f>IF(C18=" "," ",HLOOKUP($S$5,mand,11,1))</f>
        <v>B</v>
      </c>
    </row>
    <row r="19" spans="1:22" x14ac:dyDescent="0.25">
      <c r="A19" s="72">
        <f>IF(C19=" "," ",11)</f>
        <v>11</v>
      </c>
      <c r="B19" s="73" t="str">
        <f>IF(C19=" "," ",HLOOKUP($S$5,id,12,1))</f>
        <v>785 / 0041810813</v>
      </c>
      <c r="C19" s="74" t="str">
        <f>IF(HLOOKUP($S$5,name,13,TRUE)=0," ",HLOOKUP($S$5,name,13,TRUE))</f>
        <v>FILBERT MATHIAS HALOMOAN SITORUS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5">
        <f t="shared" si="0"/>
        <v>0</v>
      </c>
      <c r="R19" s="75" t="e">
        <f t="shared" si="1"/>
        <v>#DIV/0!</v>
      </c>
      <c r="S19" s="75">
        <f t="shared" si="2"/>
        <v>1</v>
      </c>
      <c r="T19" s="80"/>
      <c r="V19" s="81" t="str">
        <f>IF(C19=" "," ",HLOOKUP($S$5,mand,12,1))</f>
        <v>B</v>
      </c>
    </row>
    <row r="20" spans="1:22" x14ac:dyDescent="0.25">
      <c r="A20" s="72">
        <f>IF(C20=" "," ",12)</f>
        <v>12</v>
      </c>
      <c r="B20" s="73" t="str">
        <f>IF(C20=" "," ",HLOOKUP($S$5,id,13,1))</f>
        <v>789 / 0040871540</v>
      </c>
      <c r="C20" s="74" t="str">
        <f>IF(HLOOKUP($S$5,name,14,TRUE)=0," ",HLOOKUP($S$5,name,14,TRUE))</f>
        <v>ISHAK ZERAH TANUPUTRA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5">
        <f t="shared" si="0"/>
        <v>0</v>
      </c>
      <c r="R20" s="75" t="e">
        <f t="shared" si="1"/>
        <v>#DIV/0!</v>
      </c>
      <c r="S20" s="75">
        <f t="shared" si="2"/>
        <v>1</v>
      </c>
      <c r="T20" s="80"/>
      <c r="V20" s="81" t="str">
        <f>IF(C20=" "," ",HLOOKUP($S$5,mand,13,1))</f>
        <v>B</v>
      </c>
    </row>
    <row r="21" spans="1:22" x14ac:dyDescent="0.25">
      <c r="A21" s="72">
        <f>IF(C21=" "," ",13)</f>
        <v>13</v>
      </c>
      <c r="B21" s="73" t="str">
        <f>IF(C21=" "," ",HLOOKUP($S$5,id,14,1))</f>
        <v>790 / 0043891840</v>
      </c>
      <c r="C21" s="74" t="str">
        <f>IF(HLOOKUP($S$5,name,15,TRUE)=0," ",HLOOKUP($S$5,name,15,TRUE))</f>
        <v>JAMISON WIJAYA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5">
        <f t="shared" si="0"/>
        <v>0</v>
      </c>
      <c r="R21" s="75" t="e">
        <f t="shared" si="1"/>
        <v>#DIV/0!</v>
      </c>
      <c r="S21" s="75">
        <f t="shared" si="2"/>
        <v>1</v>
      </c>
      <c r="T21" s="80"/>
      <c r="V21" s="81">
        <f>IF(C21=" "," ",HLOOKUP($S$5,mand,14,1))</f>
        <v>0</v>
      </c>
    </row>
    <row r="22" spans="1:22" x14ac:dyDescent="0.25">
      <c r="A22" s="72">
        <f>IF(C22=" "," ",14)</f>
        <v>14</v>
      </c>
      <c r="B22" s="73" t="str">
        <f>IF(C22=" "," ",HLOOKUP($S$5,id,15,1))</f>
        <v>794 / 0056349351</v>
      </c>
      <c r="C22" s="74" t="str">
        <f>IF(HLOOKUP($S$5,name,16,TRUE)=0," ",HLOOKUP($S$5,name,16,TRUE))</f>
        <v>JENNIFER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5">
        <f t="shared" si="0"/>
        <v>0</v>
      </c>
      <c r="R22" s="75" t="e">
        <f t="shared" si="1"/>
        <v>#DIV/0!</v>
      </c>
      <c r="S22" s="75">
        <f t="shared" si="2"/>
        <v>1</v>
      </c>
      <c r="T22" s="80"/>
      <c r="V22" s="81" t="str">
        <f>IF(C22=" "," ",HLOOKUP($S$5,mand,15,1))</f>
        <v>B</v>
      </c>
    </row>
    <row r="23" spans="1:22" x14ac:dyDescent="0.25">
      <c r="A23" s="72">
        <f>IF(C23=" "," ",15)</f>
        <v>15</v>
      </c>
      <c r="B23" s="73" t="str">
        <f>IF(C23=" "," ",HLOOKUP($S$5,id,16,1))</f>
        <v>795 / 0050396547</v>
      </c>
      <c r="C23" s="74" t="str">
        <f>IF(HLOOKUP($S$5,name,17,TRUE)=0," ",HLOOKUP($S$5,name,17,TRUE))</f>
        <v>JENNIFER ALESSANDRA DIAZ SIMANJUNTAK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5">
        <f t="shared" si="0"/>
        <v>0</v>
      </c>
      <c r="R23" s="75" t="e">
        <f t="shared" si="1"/>
        <v>#DIV/0!</v>
      </c>
      <c r="S23" s="75">
        <f t="shared" si="2"/>
        <v>1</v>
      </c>
      <c r="T23" s="80"/>
      <c r="V23" s="81">
        <f>IF(C23=" "," ",HLOOKUP($S$5,mand,16,1))</f>
        <v>0</v>
      </c>
    </row>
    <row r="24" spans="1:22" x14ac:dyDescent="0.25">
      <c r="A24" s="72">
        <f>IF(C24=" "," ",16)</f>
        <v>16</v>
      </c>
      <c r="B24" s="73" t="str">
        <f>IF(C24=" "," ",HLOOKUP($S$5,id,17,1))</f>
        <v>797 / 0043916797</v>
      </c>
      <c r="C24" s="74" t="str">
        <f>IF(HLOOKUP($S$5,name,18,TRUE)=0," ",HLOOKUP($S$5,name,18,TRUE))</f>
        <v>JENNISE PATRICIA SUNARYO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5">
        <f t="shared" si="0"/>
        <v>0</v>
      </c>
      <c r="R24" s="75" t="e">
        <f t="shared" si="1"/>
        <v>#DIV/0!</v>
      </c>
      <c r="S24" s="75">
        <f t="shared" si="2"/>
        <v>1</v>
      </c>
      <c r="T24" s="80"/>
      <c r="V24" s="81" t="str">
        <f>IF(C24=" "," ",HLOOKUP($S$5,mand,17,1))</f>
        <v>B</v>
      </c>
    </row>
    <row r="25" spans="1:22" x14ac:dyDescent="0.25">
      <c r="A25" s="72">
        <f>IF(C25=" "," ",17)</f>
        <v>17</v>
      </c>
      <c r="B25" s="73" t="str">
        <f>IF(C25=" "," ",HLOOKUP($S$5,id,18,1))</f>
        <v>804 / 0035873843</v>
      </c>
      <c r="C25" s="74" t="str">
        <f>IF(HLOOKUP($S$5,name,19,TRUE)=0," ",HLOOKUP($S$5,name,19,TRUE))</f>
        <v>JOSEPHINE WIDJAJA</v>
      </c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5">
        <f t="shared" si="0"/>
        <v>0</v>
      </c>
      <c r="R25" s="75" t="e">
        <f t="shared" si="1"/>
        <v>#DIV/0!</v>
      </c>
      <c r="S25" s="75">
        <f t="shared" si="2"/>
        <v>1</v>
      </c>
      <c r="T25" s="80"/>
      <c r="V25" s="81" t="str">
        <f>IF(C25=" "," ",HLOOKUP($S$5,mand,18,1))</f>
        <v>B</v>
      </c>
    </row>
    <row r="26" spans="1:22" x14ac:dyDescent="0.25">
      <c r="A26" s="72">
        <f>IF(C26=" "," ",18)</f>
        <v>18</v>
      </c>
      <c r="B26" s="73" t="str">
        <f>IF(C26=" "," ",HLOOKUP($S$5,id,19,1))</f>
        <v>805 / 0041796499</v>
      </c>
      <c r="C26" s="74" t="str">
        <f>IF(HLOOKUP($S$5,name,20,TRUE)=0," ",HLOOKUP($S$5,name,20,TRUE))</f>
        <v>JUAN NATHAN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5">
        <f t="shared" si="0"/>
        <v>0</v>
      </c>
      <c r="R26" s="75" t="e">
        <f t="shared" si="1"/>
        <v>#DIV/0!</v>
      </c>
      <c r="S26" s="75">
        <f t="shared" si="2"/>
        <v>1</v>
      </c>
      <c r="T26" s="80"/>
      <c r="V26" s="81">
        <f>IF(C26=" "," ",HLOOKUP($S$5,mand,19,1))</f>
        <v>0</v>
      </c>
    </row>
    <row r="27" spans="1:22" x14ac:dyDescent="0.25">
      <c r="A27" s="72">
        <f>IF(C27=" "," ",19)</f>
        <v>19</v>
      </c>
      <c r="B27" s="73" t="str">
        <f>IF(C27=" "," ",HLOOKUP($S$5,id,20,1))</f>
        <v>808 / 0041877712</v>
      </c>
      <c r="C27" s="74" t="str">
        <f>IF(HLOOKUP($S$5,name,21,TRUE)=0," ",HLOOKUP($S$5,name,21,TRUE))</f>
        <v>KATHRYN CAHYADI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5">
        <f t="shared" si="0"/>
        <v>0</v>
      </c>
      <c r="R27" s="75" t="e">
        <f t="shared" si="1"/>
        <v>#DIV/0!</v>
      </c>
      <c r="S27" s="75">
        <f t="shared" si="2"/>
        <v>1</v>
      </c>
      <c r="T27" s="80"/>
      <c r="V27" s="81">
        <f>IF(C27=" "," ",HLOOKUP($S$5,mand,20,1))</f>
        <v>0</v>
      </c>
    </row>
    <row r="28" spans="1:22" x14ac:dyDescent="0.25">
      <c r="A28" s="72">
        <f>IF(C28=" "," ",20)</f>
        <v>20</v>
      </c>
      <c r="B28" s="73" t="str">
        <f>IF(C28=" "," ",HLOOKUP($S$5,id,21,1))</f>
        <v>816 / 0041810135</v>
      </c>
      <c r="C28" s="74" t="str">
        <f>IF(HLOOKUP($S$5,name,22,TRUE)=0," ",HLOOKUP($S$5,name,22,TRUE))</f>
        <v>KYRA RISANTI RUSLY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5">
        <f t="shared" si="0"/>
        <v>0</v>
      </c>
      <c r="R28" s="75" t="e">
        <f t="shared" si="1"/>
        <v>#DIV/0!</v>
      </c>
      <c r="S28" s="75">
        <f t="shared" si="2"/>
        <v>1</v>
      </c>
      <c r="T28" s="80"/>
      <c r="V28" s="81">
        <f>IF(C28=" "," ",HLOOKUP($S$5,mand,21,1))</f>
        <v>0</v>
      </c>
    </row>
    <row r="29" spans="1:22" x14ac:dyDescent="0.25">
      <c r="A29" s="72">
        <f>IF(C29=" "," ",21)</f>
        <v>21</v>
      </c>
      <c r="B29" s="73" t="str">
        <f>IF(C29=" "," ",HLOOKUP($S$5,id,22,1))</f>
        <v>817 / 0041791548</v>
      </c>
      <c r="C29" s="74" t="str">
        <f>IF(HLOOKUP($S$5,name,23,TRUE)=0," ",HLOOKUP($S$5,name,23,TRUE))</f>
        <v>LOUIS VELASCO MULJONO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5">
        <f t="shared" si="0"/>
        <v>0</v>
      </c>
      <c r="R29" s="75" t="e">
        <f t="shared" si="1"/>
        <v>#DIV/0!</v>
      </c>
      <c r="S29" s="75">
        <f t="shared" si="2"/>
        <v>1</v>
      </c>
      <c r="T29" s="80"/>
      <c r="V29" s="81">
        <f>IF(C29=" "," ",HLOOKUP($S$5,mand,22,1))</f>
        <v>0</v>
      </c>
    </row>
    <row r="30" spans="1:22" x14ac:dyDescent="0.25">
      <c r="A30" s="72">
        <f>IF(C30=" "," ",22)</f>
        <v>22</v>
      </c>
      <c r="B30" s="73" t="str">
        <f>IF(C30=" "," ",HLOOKUP($S$5,id,23,1))</f>
        <v>832 / 0035874789</v>
      </c>
      <c r="C30" s="74" t="str">
        <f>IF(HLOOKUP($S$5,name,24,TRUE)=0," ",HLOOKUP($S$5,name,24,TRUE))</f>
        <v>NICOLE VENA CHANDRA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5">
        <f t="shared" si="0"/>
        <v>0</v>
      </c>
      <c r="R30" s="75" t="e">
        <f t="shared" si="1"/>
        <v>#DIV/0!</v>
      </c>
      <c r="S30" s="75">
        <f t="shared" si="2"/>
        <v>1</v>
      </c>
      <c r="T30" s="80"/>
      <c r="V30" s="81">
        <f>IF(C30=" "," ",HLOOKUP($S$5,mand,23,1))</f>
        <v>0</v>
      </c>
    </row>
    <row r="31" spans="1:22" x14ac:dyDescent="0.25">
      <c r="A31" s="72">
        <f>IF(C31=" "," ",23)</f>
        <v>23</v>
      </c>
      <c r="B31" s="73" t="str">
        <f>IF(C31=" "," ",HLOOKUP($S$5,id,24,1))</f>
        <v>851 / 0047994919</v>
      </c>
      <c r="C31" s="74" t="str">
        <f>IF(HLOOKUP($S$5,name,25,TRUE)=0," ",HLOOKUP($S$5,name,25,TRUE))</f>
        <v>WILSON EKAPUTRA TANUWIDJAJA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5">
        <f t="shared" si="0"/>
        <v>0</v>
      </c>
      <c r="R31" s="75" t="e">
        <f t="shared" si="1"/>
        <v>#DIV/0!</v>
      </c>
      <c r="S31" s="75">
        <f t="shared" si="2"/>
        <v>1</v>
      </c>
      <c r="T31" s="80"/>
      <c r="V31" s="81">
        <f>IF(C31=" "," ",HLOOKUP($S$5,mand,24,1))</f>
        <v>0</v>
      </c>
    </row>
    <row r="32" spans="1:22" x14ac:dyDescent="0.25">
      <c r="A32" s="72" t="str">
        <f>IF(C32=" "," ",24)</f>
        <v xml:space="preserve"> </v>
      </c>
      <c r="B32" s="73" t="str">
        <f>IF(C32=" "," ",HLOOKUP($S$5,id,25,1))</f>
        <v xml:space="preserve"> </v>
      </c>
      <c r="C32" s="74" t="str">
        <f>IF(HLOOKUP($S$5,name,26,TRUE)=0," ",HLOOKUP($S$5,name,26,TRUE))</f>
        <v xml:space="preserve"> 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5" t="str">
        <f t="shared" si="0"/>
        <v xml:space="preserve"> </v>
      </c>
      <c r="R32" s="75" t="str">
        <f t="shared" si="1"/>
        <v xml:space="preserve"> </v>
      </c>
      <c r="S32" s="75" t="str">
        <f t="shared" si="2"/>
        <v xml:space="preserve"> </v>
      </c>
      <c r="T32" s="80"/>
      <c r="V32" s="81" t="str">
        <f>IF(C32=" "," ",HLOOKUP($S$5,mand,25,1))</f>
        <v xml:space="preserve"> </v>
      </c>
    </row>
    <row r="33" spans="1:46" x14ac:dyDescent="0.25">
      <c r="A33" s="72" t="str">
        <f>IF(C33=" "," ",25)</f>
        <v xml:space="preserve"> </v>
      </c>
      <c r="B33" s="73" t="str">
        <f>IF(C33=" "," ",HLOOKUP($S$5,id,26,1))</f>
        <v xml:space="preserve"> </v>
      </c>
      <c r="C33" s="74" t="str">
        <f>IF(HLOOKUP($S$5,name,27,TRUE)=0," ",HLOOKUP($S$5,name,27,TRUE))</f>
        <v xml:space="preserve"> 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5" t="str">
        <f t="shared" ref="Q33:Q34" si="3">IF(A33=" "," ",SUM(D33:P33))</f>
        <v xml:space="preserve"> </v>
      </c>
      <c r="R33" s="75" t="str">
        <f t="shared" ref="R33" si="4">IF(A33=" "," ",ROUND(AVERAGE(D33:P33),2))</f>
        <v xml:space="preserve"> </v>
      </c>
      <c r="S33" s="75" t="str">
        <f t="shared" si="2"/>
        <v xml:space="preserve"> </v>
      </c>
      <c r="T33" s="80"/>
      <c r="V33" s="81" t="str">
        <f>IF(C33=" "," ",HLOOKUP($S$5,mand,25,1))</f>
        <v xml:space="preserve"> </v>
      </c>
    </row>
    <row r="34" spans="1:46" x14ac:dyDescent="0.25">
      <c r="A34" s="72" t="str">
        <f>IF(C34=" "," ",26)</f>
        <v xml:space="preserve"> </v>
      </c>
      <c r="B34" s="73" t="str">
        <f>IF(C34=" "," ",HLOOKUP($S$5,id,27,1))</f>
        <v xml:space="preserve"> </v>
      </c>
      <c r="C34" s="74" t="str">
        <f>IF(HLOOKUP($S$5,name,28,TRUE)=0," ",HLOOKUP($S$5,name,28,TRUE))</f>
        <v xml:space="preserve"> 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5" t="str">
        <f t="shared" si="3"/>
        <v xml:space="preserve"> </v>
      </c>
      <c r="R34" s="75" t="str">
        <f>IF(A34=" "," ",ROUND(AVERAGE(D34:P34),2))</f>
        <v xml:space="preserve"> </v>
      </c>
      <c r="S34" s="75" t="str">
        <f>IF(A34=" "," ",RANK(Q34,$Q$9:$Q$34))</f>
        <v xml:space="preserve"> </v>
      </c>
      <c r="T34" s="80"/>
      <c r="V34" s="81" t="str">
        <f>IF(C34=" "," ",HLOOKUP($S$5,mand,25,1))</f>
        <v xml:space="preserve"> </v>
      </c>
    </row>
    <row r="35" spans="1:46" x14ac:dyDescent="0.25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</row>
    <row r="36" spans="1:46" x14ac:dyDescent="0.25">
      <c r="C36" s="82" t="s">
        <v>168</v>
      </c>
      <c r="D36" s="75">
        <f>IF(SUM(D9:D32)=0,0,AVERAGE(D9:D32))</f>
        <v>0</v>
      </c>
      <c r="E36" s="75">
        <f t="shared" ref="E36:P36" si="5">IF(SUM(E9:E32)=0,0,AVERAGE(E9:E32))</f>
        <v>0</v>
      </c>
      <c r="F36" s="75">
        <f t="shared" si="5"/>
        <v>0</v>
      </c>
      <c r="G36" s="75">
        <f t="shared" si="5"/>
        <v>0</v>
      </c>
      <c r="H36" s="75">
        <f t="shared" si="5"/>
        <v>0</v>
      </c>
      <c r="I36" s="75">
        <f t="shared" ref="I36" si="6">IF(SUM(I9:I32)=0,0,AVERAGE(I9:I32))</f>
        <v>0</v>
      </c>
      <c r="J36" s="75">
        <f t="shared" si="5"/>
        <v>0</v>
      </c>
      <c r="K36" s="75">
        <f t="shared" si="5"/>
        <v>0</v>
      </c>
      <c r="L36" s="75">
        <f t="shared" si="5"/>
        <v>0</v>
      </c>
      <c r="M36" s="75">
        <f t="shared" si="5"/>
        <v>0</v>
      </c>
      <c r="N36" s="75">
        <f t="shared" si="5"/>
        <v>0</v>
      </c>
      <c r="O36" s="75">
        <f t="shared" si="5"/>
        <v>0</v>
      </c>
      <c r="P36" s="75">
        <f t="shared" si="5"/>
        <v>0</v>
      </c>
    </row>
    <row r="37" spans="1:46" x14ac:dyDescent="0.25">
      <c r="C37" s="82" t="s">
        <v>175</v>
      </c>
      <c r="D37" s="75">
        <f>MAX(D9:D32)</f>
        <v>0</v>
      </c>
      <c r="E37" s="75">
        <f t="shared" ref="E37:P37" si="7">MAX(E9:E32)</f>
        <v>0</v>
      </c>
      <c r="F37" s="75">
        <f t="shared" si="7"/>
        <v>0</v>
      </c>
      <c r="G37" s="75">
        <f t="shared" si="7"/>
        <v>0</v>
      </c>
      <c r="H37" s="75">
        <f t="shared" si="7"/>
        <v>0</v>
      </c>
      <c r="I37" s="75">
        <f t="shared" ref="I37" si="8">MAX(I9:I32)</f>
        <v>0</v>
      </c>
      <c r="J37" s="75">
        <f t="shared" si="7"/>
        <v>0</v>
      </c>
      <c r="K37" s="75">
        <f t="shared" si="7"/>
        <v>0</v>
      </c>
      <c r="L37" s="75">
        <f t="shared" si="7"/>
        <v>0</v>
      </c>
      <c r="M37" s="75">
        <f t="shared" si="7"/>
        <v>0</v>
      </c>
      <c r="N37" s="75">
        <f t="shared" si="7"/>
        <v>0</v>
      </c>
      <c r="O37" s="75">
        <f t="shared" si="7"/>
        <v>0</v>
      </c>
      <c r="P37" s="75">
        <f t="shared" si="7"/>
        <v>0</v>
      </c>
      <c r="U37" s="56">
        <v>1</v>
      </c>
      <c r="V37" s="56">
        <v>7.1</v>
      </c>
      <c r="W37" s="56">
        <v>7.2</v>
      </c>
      <c r="X37" s="56">
        <v>7.3</v>
      </c>
      <c r="Y37" s="56">
        <v>7.4</v>
      </c>
      <c r="Z37" s="56">
        <v>8.1</v>
      </c>
      <c r="AA37" s="56">
        <v>8.1999999999999993</v>
      </c>
      <c r="AB37" s="56">
        <v>8.3000000000000007</v>
      </c>
      <c r="AC37" s="56">
        <v>8.4</v>
      </c>
      <c r="AD37" s="56">
        <v>9.1</v>
      </c>
      <c r="AE37" s="56">
        <v>9.1999999999999993</v>
      </c>
      <c r="AF37" s="56">
        <v>9.3000000000000007</v>
      </c>
      <c r="AG37" s="56">
        <v>9.4</v>
      </c>
      <c r="AI37" s="56">
        <v>7.1</v>
      </c>
      <c r="AJ37" s="56">
        <v>7.2</v>
      </c>
      <c r="AK37" s="56">
        <v>7.3</v>
      </c>
      <c r="AL37" s="56">
        <v>7.4</v>
      </c>
      <c r="AM37" s="56">
        <v>8.1</v>
      </c>
      <c r="AN37" s="56">
        <v>8.1999999999999993</v>
      </c>
      <c r="AO37" s="56">
        <v>8.3000000000000007</v>
      </c>
      <c r="AP37" s="56">
        <v>8.4</v>
      </c>
      <c r="AQ37" s="56">
        <v>9.1</v>
      </c>
      <c r="AR37" s="56">
        <v>9.1999999999999993</v>
      </c>
      <c r="AS37" s="56">
        <v>9.3000000000000007</v>
      </c>
      <c r="AT37" s="56">
        <v>9.4</v>
      </c>
    </row>
    <row r="38" spans="1:46" x14ac:dyDescent="0.25">
      <c r="C38" s="82" t="s">
        <v>176</v>
      </c>
      <c r="D38" s="75">
        <f>MIN(D9:D32)</f>
        <v>0</v>
      </c>
      <c r="E38" s="75">
        <f t="shared" ref="E38:P38" si="9">MIN(E9:E32)</f>
        <v>0</v>
      </c>
      <c r="F38" s="75">
        <f t="shared" si="9"/>
        <v>0</v>
      </c>
      <c r="G38" s="75">
        <f t="shared" si="9"/>
        <v>0</v>
      </c>
      <c r="H38" s="75">
        <f t="shared" si="9"/>
        <v>0</v>
      </c>
      <c r="I38" s="75">
        <f t="shared" ref="I38" si="10">MIN(I9:I32)</f>
        <v>0</v>
      </c>
      <c r="J38" s="75">
        <f t="shared" si="9"/>
        <v>0</v>
      </c>
      <c r="K38" s="75">
        <f t="shared" si="9"/>
        <v>0</v>
      </c>
      <c r="L38" s="75">
        <f t="shared" si="9"/>
        <v>0</v>
      </c>
      <c r="M38" s="75">
        <f t="shared" si="9"/>
        <v>0</v>
      </c>
      <c r="N38" s="75">
        <f t="shared" si="9"/>
        <v>0</v>
      </c>
      <c r="O38" s="75">
        <f t="shared" si="9"/>
        <v>0</v>
      </c>
      <c r="P38" s="75">
        <f t="shared" si="9"/>
        <v>0</v>
      </c>
      <c r="U38" s="56">
        <v>2</v>
      </c>
      <c r="V38" s="56" t="s">
        <v>32</v>
      </c>
      <c r="W38" s="56" t="s">
        <v>32</v>
      </c>
      <c r="X38" s="56" t="s">
        <v>32</v>
      </c>
      <c r="Y38" s="56" t="s">
        <v>32</v>
      </c>
      <c r="Z38" s="56" t="s">
        <v>32</v>
      </c>
      <c r="AA38" s="56" t="s">
        <v>32</v>
      </c>
      <c r="AB38" s="56" t="s">
        <v>32</v>
      </c>
      <c r="AC38" s="56" t="s">
        <v>32</v>
      </c>
      <c r="AD38" s="56" t="s">
        <v>32</v>
      </c>
      <c r="AE38" s="56" t="s">
        <v>32</v>
      </c>
      <c r="AF38" s="56" t="s">
        <v>32</v>
      </c>
      <c r="AG38" s="56" t="s">
        <v>32</v>
      </c>
      <c r="AI38" s="56" t="s">
        <v>172</v>
      </c>
      <c r="AJ38" s="56" t="s">
        <v>172</v>
      </c>
      <c r="AK38" s="56" t="s">
        <v>172</v>
      </c>
      <c r="AL38" s="56" t="s">
        <v>172</v>
      </c>
      <c r="AM38" s="56" t="s">
        <v>172</v>
      </c>
      <c r="AN38" s="56" t="s">
        <v>172</v>
      </c>
      <c r="AO38" s="56" t="s">
        <v>172</v>
      </c>
      <c r="AP38" s="56" t="s">
        <v>172</v>
      </c>
      <c r="AQ38" s="56" t="s">
        <v>179</v>
      </c>
      <c r="AR38" s="56" t="s">
        <v>179</v>
      </c>
      <c r="AS38" s="56" t="s">
        <v>172</v>
      </c>
      <c r="AT38" s="56" t="s">
        <v>172</v>
      </c>
    </row>
    <row r="39" spans="1:46" x14ac:dyDescent="0.25"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U39" s="56">
        <v>3</v>
      </c>
      <c r="V39" s="56" t="s">
        <v>31</v>
      </c>
      <c r="W39" s="56" t="s">
        <v>31</v>
      </c>
      <c r="X39" s="56" t="s">
        <v>31</v>
      </c>
      <c r="Y39" s="56" t="s">
        <v>31</v>
      </c>
      <c r="Z39" s="56" t="s">
        <v>31</v>
      </c>
      <c r="AA39" s="56" t="s">
        <v>31</v>
      </c>
      <c r="AB39" s="56" t="s">
        <v>31</v>
      </c>
      <c r="AC39" s="56" t="s">
        <v>31</v>
      </c>
      <c r="AD39" s="56" t="s">
        <v>31</v>
      </c>
      <c r="AE39" s="56" t="s">
        <v>31</v>
      </c>
      <c r="AF39" s="56" t="s">
        <v>31</v>
      </c>
      <c r="AG39" s="56" t="s">
        <v>31</v>
      </c>
      <c r="AI39" s="56" t="s">
        <v>179</v>
      </c>
      <c r="AJ39" s="56" t="s">
        <v>179</v>
      </c>
      <c r="AK39" s="56" t="s">
        <v>179</v>
      </c>
      <c r="AL39" s="56" t="s">
        <v>179</v>
      </c>
      <c r="AM39" s="56" t="s">
        <v>179</v>
      </c>
      <c r="AN39" s="56" t="s">
        <v>179</v>
      </c>
      <c r="AO39" s="56" t="s">
        <v>179</v>
      </c>
      <c r="AP39" s="56" t="s">
        <v>179</v>
      </c>
      <c r="AQ39" s="56" t="s">
        <v>18</v>
      </c>
      <c r="AR39" s="56" t="s">
        <v>18</v>
      </c>
      <c r="AS39" s="56" t="s">
        <v>18</v>
      </c>
      <c r="AT39" s="56" t="s">
        <v>18</v>
      </c>
    </row>
    <row r="40" spans="1:46" x14ac:dyDescent="0.25"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U40" s="56">
        <v>4</v>
      </c>
      <c r="V40" s="56" t="s">
        <v>33</v>
      </c>
      <c r="W40" s="56" t="s">
        <v>33</v>
      </c>
      <c r="X40" s="56" t="s">
        <v>33</v>
      </c>
      <c r="Y40" s="56" t="s">
        <v>33</v>
      </c>
      <c r="Z40" s="56" t="s">
        <v>33</v>
      </c>
      <c r="AA40" s="56" t="s">
        <v>33</v>
      </c>
      <c r="AB40" s="56" t="s">
        <v>33</v>
      </c>
      <c r="AC40" s="56" t="s">
        <v>33</v>
      </c>
      <c r="AD40" s="56" t="s">
        <v>33</v>
      </c>
      <c r="AE40" s="56" t="s">
        <v>33</v>
      </c>
      <c r="AF40" s="56" t="s">
        <v>33</v>
      </c>
      <c r="AG40" s="56" t="s">
        <v>33</v>
      </c>
      <c r="AI40" s="56" t="s">
        <v>180</v>
      </c>
      <c r="AJ40" s="56" t="s">
        <v>180</v>
      </c>
      <c r="AK40" s="56" t="s">
        <v>180</v>
      </c>
      <c r="AL40" s="56" t="s">
        <v>180</v>
      </c>
      <c r="AM40" s="56" t="s">
        <v>180</v>
      </c>
      <c r="AN40" s="56" t="s">
        <v>180</v>
      </c>
      <c r="AO40" s="56" t="s">
        <v>180</v>
      </c>
      <c r="AP40" s="56" t="s">
        <v>180</v>
      </c>
      <c r="AQ40" s="56" t="s">
        <v>236</v>
      </c>
      <c r="AR40" s="56" t="s">
        <v>236</v>
      </c>
      <c r="AS40" s="56" t="s">
        <v>236</v>
      </c>
      <c r="AT40" s="56" t="s">
        <v>236</v>
      </c>
    </row>
    <row r="41" spans="1:46" x14ac:dyDescent="0.25"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39" t="s">
        <v>21</v>
      </c>
      <c r="R41" s="63" t="str">
        <f>Cover!L16</f>
        <v>8 October 2018</v>
      </c>
      <c r="S41" s="83"/>
      <c r="U41" s="56">
        <v>5</v>
      </c>
      <c r="V41" s="56" t="s">
        <v>34</v>
      </c>
      <c r="W41" s="56" t="s">
        <v>34</v>
      </c>
      <c r="X41" s="56" t="s">
        <v>34</v>
      </c>
      <c r="Y41" s="56" t="s">
        <v>34</v>
      </c>
      <c r="Z41" s="56" t="s">
        <v>34</v>
      </c>
      <c r="AA41" s="56" t="s">
        <v>34</v>
      </c>
      <c r="AB41" s="56" t="s">
        <v>34</v>
      </c>
      <c r="AC41" s="56" t="s">
        <v>34</v>
      </c>
      <c r="AD41" s="56" t="s">
        <v>34</v>
      </c>
      <c r="AE41" s="56" t="s">
        <v>34</v>
      </c>
      <c r="AF41" s="56" t="s">
        <v>34</v>
      </c>
      <c r="AG41" s="56" t="s">
        <v>34</v>
      </c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</row>
    <row r="42" spans="1:46" x14ac:dyDescent="0.25">
      <c r="B42" s="39" t="s">
        <v>24</v>
      </c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39" t="s">
        <v>177</v>
      </c>
      <c r="U42" s="56">
        <v>6</v>
      </c>
      <c r="V42" s="56" t="s">
        <v>35</v>
      </c>
      <c r="W42" s="56" t="s">
        <v>35</v>
      </c>
      <c r="X42" s="56" t="s">
        <v>35</v>
      </c>
      <c r="Y42" s="56" t="s">
        <v>35</v>
      </c>
      <c r="Z42" s="56" t="s">
        <v>35</v>
      </c>
      <c r="AA42" s="56" t="s">
        <v>35</v>
      </c>
      <c r="AB42" s="56" t="s">
        <v>35</v>
      </c>
      <c r="AC42" s="56" t="s">
        <v>35</v>
      </c>
      <c r="AD42" s="56" t="s">
        <v>35</v>
      </c>
      <c r="AE42" s="56" t="s">
        <v>35</v>
      </c>
      <c r="AF42" s="56" t="s">
        <v>35</v>
      </c>
      <c r="AG42" s="56" t="s">
        <v>35</v>
      </c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</row>
    <row r="43" spans="1:46" x14ac:dyDescent="0.25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U43" s="56">
        <v>7</v>
      </c>
      <c r="V43" s="56" t="s">
        <v>17</v>
      </c>
      <c r="W43" s="56" t="s">
        <v>17</v>
      </c>
      <c r="X43" s="56" t="s">
        <v>17</v>
      </c>
      <c r="Y43" s="56" t="s">
        <v>17</v>
      </c>
      <c r="Z43" s="56" t="s">
        <v>17</v>
      </c>
      <c r="AA43" s="56" t="s">
        <v>17</v>
      </c>
      <c r="AB43" s="56" t="s">
        <v>17</v>
      </c>
      <c r="AC43" s="56" t="s">
        <v>17</v>
      </c>
      <c r="AD43" s="56" t="s">
        <v>172</v>
      </c>
      <c r="AE43" s="56" t="s">
        <v>172</v>
      </c>
      <c r="AF43" s="56" t="s">
        <v>172</v>
      </c>
      <c r="AG43" s="56" t="s">
        <v>172</v>
      </c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</row>
    <row r="44" spans="1:46" x14ac:dyDescent="0.25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U44" s="56">
        <v>8</v>
      </c>
      <c r="V44" s="56" t="s">
        <v>172</v>
      </c>
      <c r="W44" s="56" t="s">
        <v>172</v>
      </c>
      <c r="X44" s="56" t="s">
        <v>172</v>
      </c>
      <c r="Y44" s="56" t="s">
        <v>172</v>
      </c>
      <c r="Z44" s="56" t="s">
        <v>172</v>
      </c>
      <c r="AA44" s="56" t="s">
        <v>172</v>
      </c>
      <c r="AB44" s="56" t="s">
        <v>172</v>
      </c>
      <c r="AC44" s="56" t="s">
        <v>172</v>
      </c>
      <c r="AD44" s="56" t="s">
        <v>17</v>
      </c>
      <c r="AE44" s="56" t="s">
        <v>17</v>
      </c>
      <c r="AF44" s="56" t="s">
        <v>17</v>
      </c>
      <c r="AG44" s="56" t="s">
        <v>17</v>
      </c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</row>
    <row r="45" spans="1:46" x14ac:dyDescent="0.25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U45" s="56">
        <v>9</v>
      </c>
      <c r="V45" s="56" t="s">
        <v>38</v>
      </c>
      <c r="W45" s="56" t="s">
        <v>38</v>
      </c>
      <c r="X45" s="56" t="s">
        <v>38</v>
      </c>
      <c r="Y45" s="56" t="s">
        <v>38</v>
      </c>
      <c r="Z45" s="56" t="s">
        <v>38</v>
      </c>
      <c r="AA45" s="56" t="s">
        <v>38</v>
      </c>
      <c r="AB45" s="56" t="s">
        <v>38</v>
      </c>
      <c r="AC45" s="56" t="s">
        <v>38</v>
      </c>
      <c r="AD45" s="56" t="s">
        <v>38</v>
      </c>
      <c r="AE45" s="56" t="s">
        <v>38</v>
      </c>
      <c r="AF45" s="56" t="s">
        <v>38</v>
      </c>
      <c r="AG45" s="56" t="s">
        <v>38</v>
      </c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</row>
    <row r="46" spans="1:46" x14ac:dyDescent="0.25">
      <c r="B46" s="45" t="s">
        <v>178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164" t="str">
        <f>IF(HLOOKUP($S$5,name,2,TRUE)=0," ",HLOOKUP($S$5,name,2,TRUE))</f>
        <v>Josua Geis Somba, S.Si.</v>
      </c>
      <c r="R46" s="164"/>
      <c r="S46" s="164"/>
      <c r="U46" s="56">
        <v>10</v>
      </c>
      <c r="V46" s="56" t="s">
        <v>39</v>
      </c>
      <c r="W46" s="56" t="s">
        <v>39</v>
      </c>
      <c r="X46" s="56" t="s">
        <v>39</v>
      </c>
      <c r="Y46" s="56" t="s">
        <v>39</v>
      </c>
      <c r="Z46" s="56" t="s">
        <v>39</v>
      </c>
      <c r="AA46" s="56" t="s">
        <v>39</v>
      </c>
      <c r="AB46" s="56" t="s">
        <v>39</v>
      </c>
      <c r="AC46" s="56" t="s">
        <v>39</v>
      </c>
      <c r="AD46" s="56" t="s">
        <v>174</v>
      </c>
      <c r="AE46" s="56" t="s">
        <v>174</v>
      </c>
      <c r="AF46" s="56" t="s">
        <v>174</v>
      </c>
      <c r="AG46" s="56" t="s">
        <v>174</v>
      </c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</row>
    <row r="47" spans="1:46" x14ac:dyDescent="0.25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U47" s="56">
        <v>11</v>
      </c>
      <c r="V47" s="56" t="s">
        <v>173</v>
      </c>
      <c r="W47" s="56" t="s">
        <v>173</v>
      </c>
      <c r="X47" s="56" t="s">
        <v>173</v>
      </c>
      <c r="Y47" s="56" t="s">
        <v>173</v>
      </c>
      <c r="Z47" s="56" t="s">
        <v>173</v>
      </c>
      <c r="AA47" s="56" t="s">
        <v>173</v>
      </c>
      <c r="AB47" s="56" t="s">
        <v>173</v>
      </c>
      <c r="AC47" s="56" t="s">
        <v>173</v>
      </c>
      <c r="AD47" s="56" t="s">
        <v>39</v>
      </c>
      <c r="AE47" s="56" t="s">
        <v>39</v>
      </c>
      <c r="AF47" s="56" t="s">
        <v>39</v>
      </c>
      <c r="AG47" s="56" t="s">
        <v>39</v>
      </c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</row>
    <row r="48" spans="1:46" x14ac:dyDescent="0.25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U48" s="56">
        <v>12</v>
      </c>
      <c r="V48" s="56" t="s">
        <v>37</v>
      </c>
      <c r="W48" s="56" t="s">
        <v>37</v>
      </c>
      <c r="X48" s="56" t="s">
        <v>37</v>
      </c>
      <c r="Y48" s="56" t="s">
        <v>37</v>
      </c>
      <c r="Z48" s="56" t="s">
        <v>37</v>
      </c>
      <c r="AA48" s="56" t="s">
        <v>37</v>
      </c>
      <c r="AB48" s="56" t="s">
        <v>37</v>
      </c>
      <c r="AC48" s="56" t="s">
        <v>37</v>
      </c>
      <c r="AD48" s="56" t="s">
        <v>36</v>
      </c>
      <c r="AE48" s="56" t="s">
        <v>36</v>
      </c>
      <c r="AF48" s="56" t="s">
        <v>36</v>
      </c>
      <c r="AG48" s="56" t="s">
        <v>36</v>
      </c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</row>
    <row r="49" spans="4:46" x14ac:dyDescent="0.25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U49" s="56">
        <v>13</v>
      </c>
      <c r="V49" s="56" t="s">
        <v>42</v>
      </c>
      <c r="W49" s="56" t="s">
        <v>42</v>
      </c>
      <c r="X49" s="56" t="s">
        <v>42</v>
      </c>
      <c r="Y49" s="56" t="s">
        <v>42</v>
      </c>
      <c r="Z49" s="56" t="s">
        <v>42</v>
      </c>
      <c r="AA49" s="56" t="s">
        <v>42</v>
      </c>
      <c r="AB49" s="56" t="s">
        <v>42</v>
      </c>
      <c r="AC49" s="56" t="s">
        <v>42</v>
      </c>
      <c r="AD49" s="56" t="s">
        <v>37</v>
      </c>
      <c r="AE49" s="56" t="s">
        <v>37</v>
      </c>
      <c r="AF49" s="56" t="s">
        <v>37</v>
      </c>
      <c r="AG49" s="56" t="s">
        <v>37</v>
      </c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</row>
    <row r="50" spans="4:46" x14ac:dyDescent="0.25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AD50" s="56" t="s">
        <v>42</v>
      </c>
      <c r="AE50" s="56" t="s">
        <v>42</v>
      </c>
      <c r="AF50" s="56" t="s">
        <v>42</v>
      </c>
      <c r="AG50" s="56" t="s">
        <v>42</v>
      </c>
    </row>
    <row r="51" spans="4:46" x14ac:dyDescent="0.25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</row>
    <row r="52" spans="4:46" x14ac:dyDescent="0.25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</row>
    <row r="53" spans="4:46" x14ac:dyDescent="0.25"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</row>
    <row r="54" spans="4:46" x14ac:dyDescent="0.25"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</row>
    <row r="55" spans="4:46" x14ac:dyDescent="0.25"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</row>
    <row r="56" spans="4:46" x14ac:dyDescent="0.25"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</row>
    <row r="57" spans="4:46" x14ac:dyDescent="0.25"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</row>
    <row r="58" spans="4:46" x14ac:dyDescent="0.25"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</row>
    <row r="59" spans="4:46" x14ac:dyDescent="0.25"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</row>
    <row r="60" spans="4:46" x14ac:dyDescent="0.25"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</row>
    <row r="61" spans="4:46" x14ac:dyDescent="0.25"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</row>
    <row r="62" spans="4:46" x14ac:dyDescent="0.25"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</row>
    <row r="63" spans="4:46" x14ac:dyDescent="0.25"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</row>
    <row r="64" spans="4:46" x14ac:dyDescent="0.25"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</row>
    <row r="65" spans="4:16" x14ac:dyDescent="0.25"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</row>
    <row r="66" spans="4:16" x14ac:dyDescent="0.25"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</row>
    <row r="67" spans="4:16" x14ac:dyDescent="0.25"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</row>
    <row r="68" spans="4:16" x14ac:dyDescent="0.25"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</row>
    <row r="69" spans="4:16" x14ac:dyDescent="0.25"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</row>
    <row r="70" spans="4:16" x14ac:dyDescent="0.25"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</row>
    <row r="71" spans="4:16" x14ac:dyDescent="0.25"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</row>
    <row r="72" spans="4:16" x14ac:dyDescent="0.25"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</row>
    <row r="73" spans="4:16" x14ac:dyDescent="0.25"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</row>
    <row r="74" spans="4:16" x14ac:dyDescent="0.25"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</row>
    <row r="75" spans="4:16" x14ac:dyDescent="0.25"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</row>
    <row r="76" spans="4:16" x14ac:dyDescent="0.25"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</row>
    <row r="77" spans="4:16" x14ac:dyDescent="0.25"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</row>
    <row r="78" spans="4:16" x14ac:dyDescent="0.25"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</row>
    <row r="79" spans="4:16" x14ac:dyDescent="0.25"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</row>
    <row r="80" spans="4:16" x14ac:dyDescent="0.25"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</row>
    <row r="81" spans="4:16" x14ac:dyDescent="0.25"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</row>
    <row r="82" spans="4:16" x14ac:dyDescent="0.25"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</row>
    <row r="83" spans="4:16" x14ac:dyDescent="0.25"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</row>
    <row r="84" spans="4:16" x14ac:dyDescent="0.25"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</row>
    <row r="85" spans="4:16" x14ac:dyDescent="0.25"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</row>
    <row r="86" spans="4:16" x14ac:dyDescent="0.25"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</row>
    <row r="87" spans="4:16" x14ac:dyDescent="0.25"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</row>
    <row r="88" spans="4:16" x14ac:dyDescent="0.25"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</row>
    <row r="89" spans="4:16" x14ac:dyDescent="0.25"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</row>
    <row r="90" spans="4:16" x14ac:dyDescent="0.25"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</row>
    <row r="91" spans="4:16" x14ac:dyDescent="0.25"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</row>
    <row r="92" spans="4:16" x14ac:dyDescent="0.25"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</row>
    <row r="93" spans="4:16" x14ac:dyDescent="0.25"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</row>
    <row r="94" spans="4:16" x14ac:dyDescent="0.25"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</row>
    <row r="95" spans="4:16" x14ac:dyDescent="0.25"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</row>
    <row r="96" spans="4:16" x14ac:dyDescent="0.25"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</row>
    <row r="97" spans="4:16" x14ac:dyDescent="0.25"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</row>
    <row r="98" spans="4:16" x14ac:dyDescent="0.25"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</row>
    <row r="99" spans="4:16" x14ac:dyDescent="0.25"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</row>
    <row r="100" spans="4:16" x14ac:dyDescent="0.25"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</row>
    <row r="101" spans="4:16" x14ac:dyDescent="0.25"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</row>
    <row r="102" spans="4:16" x14ac:dyDescent="0.25"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</row>
    <row r="103" spans="4:16" x14ac:dyDescent="0.25"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</row>
    <row r="104" spans="4:16" x14ac:dyDescent="0.25"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</row>
    <row r="105" spans="4:16" x14ac:dyDescent="0.25"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</row>
    <row r="106" spans="4:16" x14ac:dyDescent="0.25"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</row>
    <row r="107" spans="4:16" x14ac:dyDescent="0.25"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</row>
    <row r="108" spans="4:16" x14ac:dyDescent="0.25"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</row>
    <row r="109" spans="4:16" x14ac:dyDescent="0.25"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</row>
    <row r="110" spans="4:16" x14ac:dyDescent="0.25"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</row>
    <row r="111" spans="4:16" x14ac:dyDescent="0.25"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</row>
    <row r="112" spans="4:16" x14ac:dyDescent="0.25"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</row>
  </sheetData>
  <sheetProtection algorithmName="SHA-512" hashValue="IKrv6Nvv5+IqDPwE6hZ5RYa4Nw1DsKzUwBt6c/kpF+EKIA9OkdpPrCkrFXUoFZKd2Ts/kQJCKctwNOpPm9pU1w==" saltValue="FkoBEnfgR0PfqV0a7QJspg==" spinCount="100000" sheet="1" objects="1" scenarios="1"/>
  <mergeCells count="8">
    <mergeCell ref="S7:S8"/>
    <mergeCell ref="Q46:S46"/>
    <mergeCell ref="D7:P7"/>
    <mergeCell ref="A7:A8"/>
    <mergeCell ref="B7:B8"/>
    <mergeCell ref="C7:C8"/>
    <mergeCell ref="Q7:Q8"/>
    <mergeCell ref="R7:R8"/>
  </mergeCells>
  <printOptions horizontalCentered="1"/>
  <pageMargins left="0.7" right="0.7" top="0.75" bottom="0.75" header="0.3" footer="0.3"/>
  <pageSetup paperSize="9" scale="66" orientation="landscape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T105"/>
  <sheetViews>
    <sheetView topLeftCell="D1" workbookViewId="0">
      <selection activeCell="J8" sqref="J8"/>
    </sheetView>
  </sheetViews>
  <sheetFormatPr defaultColWidth="8.85546875" defaultRowHeight="15" x14ac:dyDescent="0.25"/>
  <cols>
    <col min="2" max="2" width="17.7109375" customWidth="1"/>
    <col min="3" max="3" width="30.7109375" customWidth="1"/>
    <col min="4" max="4" width="5.7109375" customWidth="1"/>
    <col min="5" max="5" width="20.7109375" customWidth="1"/>
    <col min="6" max="18" width="8.7109375" customWidth="1"/>
    <col min="20" max="20" width="26" customWidth="1"/>
  </cols>
  <sheetData>
    <row r="2" spans="1:20" ht="31.5" x14ac:dyDescent="0.5">
      <c r="A2" s="3" t="s">
        <v>184</v>
      </c>
    </row>
    <row r="3" spans="1:20" x14ac:dyDescent="0.25">
      <c r="A3" s="7" t="str">
        <f>'Marking Page'!A5</f>
        <v>Term 1</v>
      </c>
      <c r="B3" s="38" t="str">
        <f>'Marking Page'!B5</f>
        <v>Year</v>
      </c>
      <c r="C3" s="8" t="str">
        <f>'Marking Page'!C5</f>
        <v>2018 / 2019</v>
      </c>
      <c r="D3" s="8"/>
      <c r="E3" s="8"/>
      <c r="F3" s="6"/>
      <c r="Q3" s="18" t="s">
        <v>187</v>
      </c>
      <c r="R3" s="4">
        <f>'Marking Page'!S5</f>
        <v>9.1</v>
      </c>
    </row>
    <row r="4" spans="1:20" x14ac:dyDescent="0.25">
      <c r="A4" s="7"/>
      <c r="B4" s="7"/>
      <c r="C4" s="8"/>
      <c r="D4" s="8"/>
      <c r="E4" s="8"/>
      <c r="F4" s="6"/>
      <c r="Q4" s="34"/>
      <c r="R4" s="4"/>
    </row>
    <row r="5" spans="1:20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</row>
    <row r="6" spans="1:20" x14ac:dyDescent="0.25">
      <c r="A6" s="170" t="s">
        <v>27</v>
      </c>
      <c r="B6" s="170" t="s">
        <v>28</v>
      </c>
      <c r="C6" s="170" t="s">
        <v>29</v>
      </c>
      <c r="D6" s="172" t="s">
        <v>185</v>
      </c>
      <c r="E6" s="172" t="s">
        <v>186</v>
      </c>
      <c r="F6" s="171" t="s">
        <v>30</v>
      </c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0" t="s">
        <v>39</v>
      </c>
      <c r="T6" s="170" t="s">
        <v>188</v>
      </c>
    </row>
    <row r="7" spans="1:20" x14ac:dyDescent="0.25">
      <c r="A7" s="170"/>
      <c r="B7" s="170"/>
      <c r="C7" s="170"/>
      <c r="D7" s="173"/>
      <c r="E7" s="173"/>
      <c r="F7" s="27" t="str">
        <f>'Marking Page'!D8</f>
        <v>Agama</v>
      </c>
      <c r="G7" s="27" t="str">
        <f>'Marking Page'!E8</f>
        <v>PKN</v>
      </c>
      <c r="H7" s="27" t="str">
        <f>'Marking Page'!F8</f>
        <v>B. Indo</v>
      </c>
      <c r="I7" s="27" t="str">
        <f>'Marking Page'!G8</f>
        <v xml:space="preserve">English </v>
      </c>
      <c r="J7" s="27" t="str">
        <f>'Marking Page'!H8</f>
        <v xml:space="preserve">Math </v>
      </c>
      <c r="K7" s="155" t="str">
        <f>'Marking Page'!I8</f>
        <v>Biology</v>
      </c>
      <c r="L7" s="27" t="str">
        <f>'Marking Page'!J8</f>
        <v>Physics</v>
      </c>
      <c r="M7" s="27" t="str">
        <f>'Marking Page'!K8</f>
        <v>Chem</v>
      </c>
      <c r="N7" s="27" t="str">
        <f>'Marking Page'!L8</f>
        <v>Business</v>
      </c>
      <c r="O7" s="27" t="str">
        <f>'Marking Page'!M8</f>
        <v>Mand</v>
      </c>
      <c r="P7" s="27" t="str">
        <f>'Marking Page'!N8</f>
        <v>ICT</v>
      </c>
      <c r="Q7" s="27" t="str">
        <f>'Marking Page'!O8</f>
        <v>ICA</v>
      </c>
      <c r="R7" s="27" t="str">
        <f>'Marking Page'!P8</f>
        <v>PE</v>
      </c>
      <c r="S7" s="170"/>
      <c r="T7" s="170"/>
    </row>
    <row r="8" spans="1:20" x14ac:dyDescent="0.25">
      <c r="A8" s="19">
        <f>'Marking Page'!A9</f>
        <v>1</v>
      </c>
      <c r="B8" s="31" t="str">
        <f>'Marking Page'!B9</f>
        <v>757 / 0046197583</v>
      </c>
      <c r="C8" s="37" t="str">
        <f>'Marking Page'!C9</f>
        <v>ADELBERT REINHARD RIANG</v>
      </c>
      <c r="D8" s="31" t="str">
        <f>IF(C8=" "," ",HLOOKUP($R$3,gender,2,1))</f>
        <v>Male</v>
      </c>
      <c r="E8" s="31" t="str">
        <f>IF(C8=" "," ",HLOOKUP($R$3,birth,2,1))</f>
        <v>15 July 2004</v>
      </c>
      <c r="F8" s="31">
        <f>IF(C8=" "," ",'Marking Page'!D9)</f>
        <v>0</v>
      </c>
      <c r="G8" s="31">
        <f>IF(D8=" "," ",'Marking Page'!E9)</f>
        <v>0</v>
      </c>
      <c r="H8" s="31">
        <f>IF(E8=" "," ",'Marking Page'!F9)</f>
        <v>0</v>
      </c>
      <c r="I8" s="31">
        <f>IF(F8=" "," ",'Marking Page'!G9)</f>
        <v>0</v>
      </c>
      <c r="J8" s="31">
        <f>IF(G8=" "," ",'Marking Page'!H9)</f>
        <v>0</v>
      </c>
      <c r="K8" s="31">
        <f>IF(H8=" "," ",'Marking Page'!I9)</f>
        <v>0</v>
      </c>
      <c r="L8" s="31">
        <f>IF(H8=" "," ",'Marking Page'!J9)</f>
        <v>0</v>
      </c>
      <c r="M8" s="31">
        <f>IF(I8=" "," ",'Marking Page'!K9)</f>
        <v>0</v>
      </c>
      <c r="N8" s="31">
        <f>IF(J8=" "," ",'Marking Page'!L9)</f>
        <v>0</v>
      </c>
      <c r="O8" s="31">
        <f>IF(L8=" "," ",'Marking Page'!M9)</f>
        <v>0</v>
      </c>
      <c r="P8" s="31">
        <f>IF(M8=" "," ",'Marking Page'!N9)</f>
        <v>0</v>
      </c>
      <c r="Q8" s="31">
        <f>IF(N8=" "," ",'Marking Page'!O9)</f>
        <v>0</v>
      </c>
      <c r="R8" s="31">
        <f>IF(O8=" "," ",'Marking Page'!P9)</f>
        <v>0</v>
      </c>
      <c r="S8" s="9">
        <f>'Marking Page'!V9</f>
        <v>0</v>
      </c>
      <c r="T8" s="35" t="str">
        <f>IF(S8=" "," ",IF(S8="B","Mandarin (Basic)","Mandarin (Intermediate)"))</f>
        <v>Mandarin (Intermediate)</v>
      </c>
    </row>
    <row r="9" spans="1:20" x14ac:dyDescent="0.25">
      <c r="A9" s="19">
        <f>'Marking Page'!A10</f>
        <v>2</v>
      </c>
      <c r="B9" s="31" t="str">
        <f>'Marking Page'!B10</f>
        <v>758 / 0042039979</v>
      </c>
      <c r="C9" s="37" t="str">
        <f>'Marking Page'!C10</f>
        <v>ALENA PANNA SOEGIANTO</v>
      </c>
      <c r="D9" s="31" t="str">
        <f>IF(C9=" "," ",HLOOKUP($R$3,gender,3,1))</f>
        <v>Female</v>
      </c>
      <c r="E9" s="31" t="str">
        <f>IF(C9=" "," ",HLOOKUP($R$3,birth,3,1))</f>
        <v>27 July 2004</v>
      </c>
      <c r="F9" s="31">
        <f>IF(C9=" "," ",'Marking Page'!D10)</f>
        <v>0</v>
      </c>
      <c r="G9" s="31">
        <f>IF(D9=" "," ",'Marking Page'!E10)</f>
        <v>0</v>
      </c>
      <c r="H9" s="31">
        <f>IF(E9=" "," ",'Marking Page'!F10)</f>
        <v>0</v>
      </c>
      <c r="I9" s="31">
        <f>IF(F9=" "," ",'Marking Page'!G10)</f>
        <v>0</v>
      </c>
      <c r="J9" s="31">
        <f>IF(G9=" "," ",'Marking Page'!H10)</f>
        <v>0</v>
      </c>
      <c r="K9" s="31">
        <f>IF(H9=" "," ",'Marking Page'!I10)</f>
        <v>0</v>
      </c>
      <c r="L9" s="31">
        <f>IF(H9=" "," ",'Marking Page'!J10)</f>
        <v>0</v>
      </c>
      <c r="M9" s="31">
        <f>IF(I9=" "," ",'Marking Page'!K10)</f>
        <v>0</v>
      </c>
      <c r="N9" s="31">
        <f>IF(J9=" "," ",'Marking Page'!L10)</f>
        <v>0</v>
      </c>
      <c r="O9" s="31">
        <f>IF(L9=" "," ",'Marking Page'!M10)</f>
        <v>0</v>
      </c>
      <c r="P9" s="31">
        <f>IF(M9=" "," ",'Marking Page'!N10)</f>
        <v>0</v>
      </c>
      <c r="Q9" s="31">
        <f>IF(N9=" "," ",'Marking Page'!O10)</f>
        <v>0</v>
      </c>
      <c r="R9" s="31">
        <f>IF(O9=" "," ",'Marking Page'!P10)</f>
        <v>0</v>
      </c>
      <c r="S9" s="9">
        <f>'Marking Page'!V10</f>
        <v>0</v>
      </c>
      <c r="T9" s="35" t="str">
        <f t="shared" ref="T9:T31" si="0">IF(S9=" "," ",IF(S9="B","Mandarin (Basic)","Mandarin (Intermediate)"))</f>
        <v>Mandarin (Intermediate)</v>
      </c>
    </row>
    <row r="10" spans="1:20" x14ac:dyDescent="0.25">
      <c r="A10" s="19">
        <f>'Marking Page'!A11</f>
        <v>3</v>
      </c>
      <c r="B10" s="31" t="str">
        <f>'Marking Page'!B11</f>
        <v>759 / 0041875773</v>
      </c>
      <c r="C10" s="37" t="str">
        <f>'Marking Page'!C11</f>
        <v>AMARANTA KENNISHIA DIMATEA</v>
      </c>
      <c r="D10" s="31" t="str">
        <f>IF(C10=" "," ",HLOOKUP($R$3,gender,4,1))</f>
        <v>Female</v>
      </c>
      <c r="E10" s="31" t="str">
        <f>IF(C10=" "," ",HLOOKUP($R$3,birth,4,1))</f>
        <v>23 January 2004</v>
      </c>
      <c r="F10" s="31">
        <f>IF(C10=" "," ",'Marking Page'!D11)</f>
        <v>0</v>
      </c>
      <c r="G10" s="31">
        <f>IF(D10=" "," ",'Marking Page'!E11)</f>
        <v>0</v>
      </c>
      <c r="H10" s="31">
        <f>IF(E10=" "," ",'Marking Page'!F11)</f>
        <v>0</v>
      </c>
      <c r="I10" s="31">
        <f>IF(F10=" "," ",'Marking Page'!G11)</f>
        <v>0</v>
      </c>
      <c r="J10" s="31">
        <f>IF(G10=" "," ",'Marking Page'!H11)</f>
        <v>0</v>
      </c>
      <c r="K10" s="31">
        <f>IF(H10=" "," ",'Marking Page'!I11)</f>
        <v>0</v>
      </c>
      <c r="L10" s="31">
        <f>IF(H10=" "," ",'Marking Page'!J11)</f>
        <v>0</v>
      </c>
      <c r="M10" s="31">
        <f>IF(I10=" "," ",'Marking Page'!K11)</f>
        <v>0</v>
      </c>
      <c r="N10" s="31">
        <f>IF(J10=" "," ",'Marking Page'!L11)</f>
        <v>0</v>
      </c>
      <c r="O10" s="31">
        <f>IF(L10=" "," ",'Marking Page'!M11)</f>
        <v>0</v>
      </c>
      <c r="P10" s="31">
        <f>IF(M10=" "," ",'Marking Page'!N11)</f>
        <v>0</v>
      </c>
      <c r="Q10" s="31">
        <f>IF(N10=" "," ",'Marking Page'!O11)</f>
        <v>0</v>
      </c>
      <c r="R10" s="31">
        <f>IF(O10=" "," ",'Marking Page'!P11)</f>
        <v>0</v>
      </c>
      <c r="S10" s="9" t="str">
        <f>'Marking Page'!V11</f>
        <v>B</v>
      </c>
      <c r="T10" s="35" t="str">
        <f t="shared" si="0"/>
        <v>Mandarin (Basic)</v>
      </c>
    </row>
    <row r="11" spans="1:20" x14ac:dyDescent="0.25">
      <c r="A11" s="19">
        <f>'Marking Page'!A12</f>
        <v>4</v>
      </c>
      <c r="B11" s="31" t="str">
        <f>'Marking Page'!B12</f>
        <v>767 / 0041795656</v>
      </c>
      <c r="C11" s="37" t="str">
        <f>'Marking Page'!C12</f>
        <v>CHARISSA NINA JONATHAN</v>
      </c>
      <c r="D11" s="31" t="str">
        <f>IF(C11=" "," ",HLOOKUP($R$3,gender,5,1))</f>
        <v>Female</v>
      </c>
      <c r="E11" s="31" t="str">
        <f>IF(C11=" "," ",HLOOKUP($R$3,birth,5,1))</f>
        <v>27 February 2004</v>
      </c>
      <c r="F11" s="31">
        <f>IF(C11=" "," ",'Marking Page'!D12)</f>
        <v>0</v>
      </c>
      <c r="G11" s="31">
        <f>IF(D11=" "," ",'Marking Page'!E12)</f>
        <v>0</v>
      </c>
      <c r="H11" s="31">
        <f>IF(E11=" "," ",'Marking Page'!F12)</f>
        <v>0</v>
      </c>
      <c r="I11" s="31">
        <f>IF(F11=" "," ",'Marking Page'!G12)</f>
        <v>0</v>
      </c>
      <c r="J11" s="31">
        <f>IF(G11=" "," ",'Marking Page'!H12)</f>
        <v>0</v>
      </c>
      <c r="K11" s="31">
        <f>IF(H11=" "," ",'Marking Page'!I12)</f>
        <v>0</v>
      </c>
      <c r="L11" s="31">
        <f>IF(H11=" "," ",'Marking Page'!J12)</f>
        <v>0</v>
      </c>
      <c r="M11" s="31">
        <f>IF(I11=" "," ",'Marking Page'!K12)</f>
        <v>0</v>
      </c>
      <c r="N11" s="31">
        <f>IF(J11=" "," ",'Marking Page'!L12)</f>
        <v>0</v>
      </c>
      <c r="O11" s="31">
        <f>IF(L11=" "," ",'Marking Page'!M12)</f>
        <v>0</v>
      </c>
      <c r="P11" s="31">
        <f>IF(M11=" "," ",'Marking Page'!N12)</f>
        <v>0</v>
      </c>
      <c r="Q11" s="31">
        <f>IF(N11=" "," ",'Marking Page'!O12)</f>
        <v>0</v>
      </c>
      <c r="R11" s="31">
        <f>IF(O11=" "," ",'Marking Page'!P12)</f>
        <v>0</v>
      </c>
      <c r="S11" s="9">
        <f>'Marking Page'!V12</f>
        <v>0</v>
      </c>
      <c r="T11" s="35" t="str">
        <f t="shared" si="0"/>
        <v>Mandarin (Intermediate)</v>
      </c>
    </row>
    <row r="12" spans="1:20" x14ac:dyDescent="0.25">
      <c r="A12" s="19">
        <f>'Marking Page'!A13</f>
        <v>5</v>
      </c>
      <c r="B12" s="31" t="str">
        <f>'Marking Page'!B13</f>
        <v>770 / 0045192456</v>
      </c>
      <c r="C12" s="37" t="str">
        <f>'Marking Page'!C13</f>
        <v>CHRISTIAN NATHANAEL P.</v>
      </c>
      <c r="D12" s="31" t="str">
        <f>IF(C12=" "," ",HLOOKUP($R$3,gender,6,1))</f>
        <v>Male</v>
      </c>
      <c r="E12" s="31" t="str">
        <f>IF(C12=" "," ",HLOOKUP($R$3,birth,6,1))</f>
        <v>12 April 2004</v>
      </c>
      <c r="F12" s="31">
        <f>IF(C12=" "," ",'Marking Page'!D13)</f>
        <v>0</v>
      </c>
      <c r="G12" s="31">
        <f>IF(D12=" "," ",'Marking Page'!E13)</f>
        <v>0</v>
      </c>
      <c r="H12" s="31">
        <f>IF(E12=" "," ",'Marking Page'!F13)</f>
        <v>0</v>
      </c>
      <c r="I12" s="31">
        <f>IF(F12=" "," ",'Marking Page'!G13)</f>
        <v>0</v>
      </c>
      <c r="J12" s="31">
        <f>IF(G12=" "," ",'Marking Page'!H13)</f>
        <v>0</v>
      </c>
      <c r="K12" s="31">
        <f>IF(H12=" "," ",'Marking Page'!I13)</f>
        <v>0</v>
      </c>
      <c r="L12" s="31">
        <f>IF(H12=" "," ",'Marking Page'!J13)</f>
        <v>0</v>
      </c>
      <c r="M12" s="31">
        <f>IF(I12=" "," ",'Marking Page'!K13)</f>
        <v>0</v>
      </c>
      <c r="N12" s="31">
        <f>IF(J12=" "," ",'Marking Page'!L13)</f>
        <v>0</v>
      </c>
      <c r="O12" s="31">
        <f>IF(L12=" "," ",'Marking Page'!M13)</f>
        <v>0</v>
      </c>
      <c r="P12" s="31">
        <f>IF(M12=" "," ",'Marking Page'!N13)</f>
        <v>0</v>
      </c>
      <c r="Q12" s="31">
        <f>IF(N12=" "," ",'Marking Page'!O13)</f>
        <v>0</v>
      </c>
      <c r="R12" s="31">
        <f>IF(O12=" "," ",'Marking Page'!P13)</f>
        <v>0</v>
      </c>
      <c r="S12" s="9" t="str">
        <f>'Marking Page'!V13</f>
        <v>B</v>
      </c>
      <c r="T12" s="35" t="str">
        <f t="shared" si="0"/>
        <v>Mandarin (Basic)</v>
      </c>
    </row>
    <row r="13" spans="1:20" x14ac:dyDescent="0.25">
      <c r="A13" s="19">
        <f>'Marking Page'!A14</f>
        <v>6</v>
      </c>
      <c r="B13" s="31" t="str">
        <f>'Marking Page'!B14</f>
        <v>771 / 0043891453</v>
      </c>
      <c r="C13" s="37" t="str">
        <f>'Marking Page'!C14</f>
        <v>CHRISTOPHE ANDRE  AGUNG LAWIN</v>
      </c>
      <c r="D13" s="31" t="str">
        <f>IF(C13=" "," ",HLOOKUP($R$3,gender,7,1))</f>
        <v>Male</v>
      </c>
      <c r="E13" s="31" t="str">
        <f>IF(C13=" "," ",HLOOKUP($R$3,birth,7,1))</f>
        <v>30 September 2004</v>
      </c>
      <c r="F13" s="31">
        <f>IF(C13=" "," ",'Marking Page'!D14)</f>
        <v>0</v>
      </c>
      <c r="G13" s="31">
        <f>IF(D13=" "," ",'Marking Page'!E14)</f>
        <v>0</v>
      </c>
      <c r="H13" s="31">
        <f>IF(E13=" "," ",'Marking Page'!F14)</f>
        <v>0</v>
      </c>
      <c r="I13" s="31">
        <f>IF(F13=" "," ",'Marking Page'!G14)</f>
        <v>0</v>
      </c>
      <c r="J13" s="31">
        <f>IF(G13=" "," ",'Marking Page'!H14)</f>
        <v>0</v>
      </c>
      <c r="K13" s="31">
        <f>IF(H13=" "," ",'Marking Page'!I14)</f>
        <v>0</v>
      </c>
      <c r="L13" s="31">
        <f>IF(H13=" "," ",'Marking Page'!J14)</f>
        <v>0</v>
      </c>
      <c r="M13" s="31">
        <f>IF(I13=" "," ",'Marking Page'!K14)</f>
        <v>0</v>
      </c>
      <c r="N13" s="31">
        <f>IF(J13=" "," ",'Marking Page'!L14)</f>
        <v>0</v>
      </c>
      <c r="O13" s="31">
        <f>IF(L13=" "," ",'Marking Page'!M14)</f>
        <v>0</v>
      </c>
      <c r="P13" s="31">
        <f>IF(M13=" "," ",'Marking Page'!N14)</f>
        <v>0</v>
      </c>
      <c r="Q13" s="31">
        <f>IF(N13=" "," ",'Marking Page'!O14)</f>
        <v>0</v>
      </c>
      <c r="R13" s="31">
        <f>IF(O13=" "," ",'Marking Page'!P14)</f>
        <v>0</v>
      </c>
      <c r="S13" s="9">
        <f>'Marking Page'!V14</f>
        <v>0</v>
      </c>
      <c r="T13" s="35" t="str">
        <f t="shared" si="0"/>
        <v>Mandarin (Intermediate)</v>
      </c>
    </row>
    <row r="14" spans="1:20" x14ac:dyDescent="0.25">
      <c r="A14" s="19">
        <f>'Marking Page'!A15</f>
        <v>7</v>
      </c>
      <c r="B14" s="31" t="str">
        <f>'Marking Page'!B15</f>
        <v>776 / 0040871555</v>
      </c>
      <c r="C14" s="37" t="str">
        <f>'Marking Page'!C15</f>
        <v>COLLIN DIMAS SANTOSO</v>
      </c>
      <c r="D14" s="31" t="str">
        <f>IF(C14=" "," ",HLOOKUP($R$3,gender,8,1))</f>
        <v>Male</v>
      </c>
      <c r="E14" s="31" t="str">
        <f>IF(C14=" "," ",HLOOKUP($R$3,birth,8,1))</f>
        <v>12 July 2004</v>
      </c>
      <c r="F14" s="31">
        <f>IF(C14=" "," ",'Marking Page'!D15)</f>
        <v>0</v>
      </c>
      <c r="G14" s="31">
        <f>IF(D14=" "," ",'Marking Page'!E15)</f>
        <v>0</v>
      </c>
      <c r="H14" s="31">
        <f>IF(E14=" "," ",'Marking Page'!F15)</f>
        <v>0</v>
      </c>
      <c r="I14" s="31">
        <f>IF(F14=" "," ",'Marking Page'!G15)</f>
        <v>0</v>
      </c>
      <c r="J14" s="31">
        <f>IF(G14=" "," ",'Marking Page'!H15)</f>
        <v>0</v>
      </c>
      <c r="K14" s="31">
        <f>IF(H14=" "," ",'Marking Page'!I15)</f>
        <v>0</v>
      </c>
      <c r="L14" s="31">
        <f>IF(H14=" "," ",'Marking Page'!J15)</f>
        <v>0</v>
      </c>
      <c r="M14" s="31">
        <f>IF(I14=" "," ",'Marking Page'!K15)</f>
        <v>0</v>
      </c>
      <c r="N14" s="31">
        <f>IF(J14=" "," ",'Marking Page'!L15)</f>
        <v>0</v>
      </c>
      <c r="O14" s="31">
        <f>IF(L14=" "," ",'Marking Page'!M15)</f>
        <v>0</v>
      </c>
      <c r="P14" s="31">
        <f>IF(M14=" "," ",'Marking Page'!N15)</f>
        <v>0</v>
      </c>
      <c r="Q14" s="31">
        <f>IF(N14=" "," ",'Marking Page'!O15)</f>
        <v>0</v>
      </c>
      <c r="R14" s="31">
        <f>IF(O14=" "," ",'Marking Page'!P15)</f>
        <v>0</v>
      </c>
      <c r="S14" s="9" t="str">
        <f>'Marking Page'!V15</f>
        <v>B</v>
      </c>
      <c r="T14" s="35" t="str">
        <f t="shared" si="0"/>
        <v>Mandarin (Basic)</v>
      </c>
    </row>
    <row r="15" spans="1:20" x14ac:dyDescent="0.25">
      <c r="A15" s="19">
        <f>'Marking Page'!A16</f>
        <v>8</v>
      </c>
      <c r="B15" s="31" t="str">
        <f>'Marking Page'!B16</f>
        <v>777 / 0042039732</v>
      </c>
      <c r="C15" s="37" t="str">
        <f>'Marking Page'!C16</f>
        <v>CRYSTALIA REDEMPTA SHANNIQUE AVEZA WANGSA</v>
      </c>
      <c r="D15" s="31" t="str">
        <f>IF(C15=" "," ",HLOOKUP($R$3,gender,9,1))</f>
        <v>Female</v>
      </c>
      <c r="E15" s="31" t="str">
        <f>IF(C15=" "," ",HLOOKUP($R$3,birth,9,1))</f>
        <v>5 May 2004</v>
      </c>
      <c r="F15" s="31">
        <f>IF(C15=" "," ",'Marking Page'!D16)</f>
        <v>0</v>
      </c>
      <c r="G15" s="31">
        <f>IF(D15=" "," ",'Marking Page'!E16)</f>
        <v>0</v>
      </c>
      <c r="H15" s="31">
        <f>IF(E15=" "," ",'Marking Page'!F16)</f>
        <v>0</v>
      </c>
      <c r="I15" s="31">
        <f>IF(F15=" "," ",'Marking Page'!G16)</f>
        <v>0</v>
      </c>
      <c r="J15" s="31">
        <f>IF(G15=" "," ",'Marking Page'!H16)</f>
        <v>0</v>
      </c>
      <c r="K15" s="31">
        <f>IF(H15=" "," ",'Marking Page'!I16)</f>
        <v>0</v>
      </c>
      <c r="L15" s="31">
        <f>IF(H15=" "," ",'Marking Page'!J16)</f>
        <v>0</v>
      </c>
      <c r="M15" s="31">
        <f>IF(I15=" "," ",'Marking Page'!K16)</f>
        <v>0</v>
      </c>
      <c r="N15" s="31">
        <f>IF(J15=" "," ",'Marking Page'!L16)</f>
        <v>0</v>
      </c>
      <c r="O15" s="31">
        <f>IF(L15=" "," ",'Marking Page'!M16)</f>
        <v>0</v>
      </c>
      <c r="P15" s="31">
        <f>IF(M15=" "," ",'Marking Page'!N16)</f>
        <v>0</v>
      </c>
      <c r="Q15" s="31">
        <f>IF(N15=" "," ",'Marking Page'!O16)</f>
        <v>0</v>
      </c>
      <c r="R15" s="31">
        <f>IF(O15=" "," ",'Marking Page'!P16)</f>
        <v>0</v>
      </c>
      <c r="S15" s="9">
        <f>'Marking Page'!V16</f>
        <v>0</v>
      </c>
      <c r="T15" s="35" t="str">
        <f t="shared" si="0"/>
        <v>Mandarin (Intermediate)</v>
      </c>
    </row>
    <row r="16" spans="1:20" x14ac:dyDescent="0.25">
      <c r="A16" s="19">
        <f>'Marking Page'!A17</f>
        <v>9</v>
      </c>
      <c r="B16" s="31" t="str">
        <f>'Marking Page'!B17</f>
        <v>781 / 0031895380</v>
      </c>
      <c r="C16" s="37" t="str">
        <f>'Marking Page'!C17</f>
        <v>DONI ANTONIO PUTRA</v>
      </c>
      <c r="D16" s="31" t="str">
        <f>IF(C16=" "," ",HLOOKUP($R$3,gender,10,1))</f>
        <v>Male</v>
      </c>
      <c r="E16" s="31" t="str">
        <f>IF(C16=" "," ",HLOOKUP($R$3,birth,10,1))</f>
        <v>8 June 2004</v>
      </c>
      <c r="F16" s="31">
        <f>IF(C16=" "," ",'Marking Page'!D17)</f>
        <v>0</v>
      </c>
      <c r="G16" s="31">
        <f>IF(D16=" "," ",'Marking Page'!E17)</f>
        <v>0</v>
      </c>
      <c r="H16" s="31">
        <f>IF(E16=" "," ",'Marking Page'!F17)</f>
        <v>0</v>
      </c>
      <c r="I16" s="31">
        <f>IF(F16=" "," ",'Marking Page'!G17)</f>
        <v>0</v>
      </c>
      <c r="J16" s="31">
        <f>IF(G16=" "," ",'Marking Page'!H17)</f>
        <v>0</v>
      </c>
      <c r="K16" s="31">
        <f>IF(H16=" "," ",'Marking Page'!I17)</f>
        <v>0</v>
      </c>
      <c r="L16" s="31">
        <f>IF(H16=" "," ",'Marking Page'!J17)</f>
        <v>0</v>
      </c>
      <c r="M16" s="31">
        <f>IF(I16=" "," ",'Marking Page'!K17)</f>
        <v>0</v>
      </c>
      <c r="N16" s="31">
        <f>IF(J16=" "," ",'Marking Page'!L17)</f>
        <v>0</v>
      </c>
      <c r="O16" s="31">
        <f>IF(L16=" "," ",'Marking Page'!M17)</f>
        <v>0</v>
      </c>
      <c r="P16" s="31">
        <f>IF(M16=" "," ",'Marking Page'!N17)</f>
        <v>0</v>
      </c>
      <c r="Q16" s="31">
        <f>IF(N16=" "," ",'Marking Page'!O17)</f>
        <v>0</v>
      </c>
      <c r="R16" s="31">
        <f>IF(O16=" "," ",'Marking Page'!P17)</f>
        <v>0</v>
      </c>
      <c r="S16" s="9" t="str">
        <f>'Marking Page'!V17</f>
        <v>B</v>
      </c>
      <c r="T16" s="35" t="str">
        <f t="shared" si="0"/>
        <v>Mandarin (Basic)</v>
      </c>
    </row>
    <row r="17" spans="1:20" x14ac:dyDescent="0.25">
      <c r="A17" s="19">
        <f>'Marking Page'!A18</f>
        <v>10</v>
      </c>
      <c r="B17" s="31" t="str">
        <f>'Marking Page'!B18</f>
        <v>782 / 0029370221</v>
      </c>
      <c r="C17" s="37" t="str">
        <f>'Marking Page'!C18</f>
        <v>EUGENE JEREMY KIE TOREDJO</v>
      </c>
      <c r="D17" s="31" t="str">
        <f>IF(C17=" "," ",HLOOKUP($R$3,gender,11,1))</f>
        <v>Male</v>
      </c>
      <c r="E17" s="31" t="str">
        <f>IF(C17=" "," ",HLOOKUP($R$3,birth,11,1))</f>
        <v>3 December 2004</v>
      </c>
      <c r="F17" s="31">
        <f>IF(C17=" "," ",'Marking Page'!D18)</f>
        <v>0</v>
      </c>
      <c r="G17" s="31">
        <f>IF(D17=" "," ",'Marking Page'!E18)</f>
        <v>0</v>
      </c>
      <c r="H17" s="31">
        <f>IF(E17=" "," ",'Marking Page'!F18)</f>
        <v>0</v>
      </c>
      <c r="I17" s="31">
        <f>IF(F17=" "," ",'Marking Page'!G18)</f>
        <v>0</v>
      </c>
      <c r="J17" s="31">
        <f>IF(G17=" "," ",'Marking Page'!H18)</f>
        <v>0</v>
      </c>
      <c r="K17" s="31">
        <f>IF(H17=" "," ",'Marking Page'!I18)</f>
        <v>0</v>
      </c>
      <c r="L17" s="31">
        <f>IF(H17=" "," ",'Marking Page'!J18)</f>
        <v>0</v>
      </c>
      <c r="M17" s="31">
        <f>IF(I17=" "," ",'Marking Page'!K18)</f>
        <v>0</v>
      </c>
      <c r="N17" s="31">
        <f>IF(J17=" "," ",'Marking Page'!L18)</f>
        <v>0</v>
      </c>
      <c r="O17" s="31">
        <f>IF(L17=" "," ",'Marking Page'!M18)</f>
        <v>0</v>
      </c>
      <c r="P17" s="31">
        <f>IF(M17=" "," ",'Marking Page'!N18)</f>
        <v>0</v>
      </c>
      <c r="Q17" s="31">
        <f>IF(N17=" "," ",'Marking Page'!O18)</f>
        <v>0</v>
      </c>
      <c r="R17" s="31">
        <f>IF(O17=" "," ",'Marking Page'!P18)</f>
        <v>0</v>
      </c>
      <c r="S17" s="9" t="str">
        <f>'Marking Page'!V18</f>
        <v>B</v>
      </c>
      <c r="T17" s="35" t="str">
        <f t="shared" si="0"/>
        <v>Mandarin (Basic)</v>
      </c>
    </row>
    <row r="18" spans="1:20" x14ac:dyDescent="0.25">
      <c r="A18" s="19">
        <f>'Marking Page'!A19</f>
        <v>11</v>
      </c>
      <c r="B18" s="31" t="str">
        <f>'Marking Page'!B19</f>
        <v>785 / 0041810813</v>
      </c>
      <c r="C18" s="37" t="str">
        <f>'Marking Page'!C19</f>
        <v>FILBERT MATHIAS HALOMOAN SITORUS</v>
      </c>
      <c r="D18" s="31" t="str">
        <f>IF(C18=" "," ",HLOOKUP($R$3,gender,12,1))</f>
        <v>Male</v>
      </c>
      <c r="E18" s="31" t="str">
        <f>IF(C18=" "," ",HLOOKUP($R$3,birth,12,1))</f>
        <v>21 January 2004</v>
      </c>
      <c r="F18" s="31">
        <f>IF(C18=" "," ",'Marking Page'!D19)</f>
        <v>0</v>
      </c>
      <c r="G18" s="31">
        <f>IF(D18=" "," ",'Marking Page'!E19)</f>
        <v>0</v>
      </c>
      <c r="H18" s="31">
        <f>IF(E18=" "," ",'Marking Page'!F19)</f>
        <v>0</v>
      </c>
      <c r="I18" s="31">
        <f>IF(F18=" "," ",'Marking Page'!G19)</f>
        <v>0</v>
      </c>
      <c r="J18" s="31">
        <f>IF(G18=" "," ",'Marking Page'!H19)</f>
        <v>0</v>
      </c>
      <c r="K18" s="31">
        <f>IF(H18=" "," ",'Marking Page'!I19)</f>
        <v>0</v>
      </c>
      <c r="L18" s="31">
        <f>IF(H18=" "," ",'Marking Page'!J19)</f>
        <v>0</v>
      </c>
      <c r="M18" s="31">
        <f>IF(I18=" "," ",'Marking Page'!K19)</f>
        <v>0</v>
      </c>
      <c r="N18" s="31">
        <f>IF(J18=" "," ",'Marking Page'!L19)</f>
        <v>0</v>
      </c>
      <c r="O18" s="31">
        <f>IF(L18=" "," ",'Marking Page'!M19)</f>
        <v>0</v>
      </c>
      <c r="P18" s="31">
        <f>IF(M18=" "," ",'Marking Page'!N19)</f>
        <v>0</v>
      </c>
      <c r="Q18" s="31">
        <f>IF(N18=" "," ",'Marking Page'!O19)</f>
        <v>0</v>
      </c>
      <c r="R18" s="31">
        <f>IF(O18=" "," ",'Marking Page'!P19)</f>
        <v>0</v>
      </c>
      <c r="S18" s="9" t="str">
        <f>'Marking Page'!V19</f>
        <v>B</v>
      </c>
      <c r="T18" s="35" t="str">
        <f t="shared" si="0"/>
        <v>Mandarin (Basic)</v>
      </c>
    </row>
    <row r="19" spans="1:20" x14ac:dyDescent="0.25">
      <c r="A19" s="19">
        <f>'Marking Page'!A20</f>
        <v>12</v>
      </c>
      <c r="B19" s="31" t="str">
        <f>'Marking Page'!B20</f>
        <v>789 / 0040871540</v>
      </c>
      <c r="C19" s="37" t="str">
        <f>'Marking Page'!C20</f>
        <v>ISHAK ZERAH TANUPUTRA</v>
      </c>
      <c r="D19" s="31" t="str">
        <f>IF(C19=" "," ",HLOOKUP($R$3,gender,13,1))</f>
        <v>Male</v>
      </c>
      <c r="E19" s="31" t="str">
        <f>IF(C19=" "," ",HLOOKUP($R$3,birth,13,1))</f>
        <v>5 May 2004</v>
      </c>
      <c r="F19" s="31">
        <f>IF(C19=" "," ",'Marking Page'!D20)</f>
        <v>0</v>
      </c>
      <c r="G19" s="31">
        <f>IF(D19=" "," ",'Marking Page'!E20)</f>
        <v>0</v>
      </c>
      <c r="H19" s="31">
        <f>IF(E19=" "," ",'Marking Page'!F20)</f>
        <v>0</v>
      </c>
      <c r="I19" s="31">
        <f>IF(F19=" "," ",'Marking Page'!G20)</f>
        <v>0</v>
      </c>
      <c r="J19" s="31">
        <f>IF(G19=" "," ",'Marking Page'!H20)</f>
        <v>0</v>
      </c>
      <c r="K19" s="31">
        <f>IF(H19=" "," ",'Marking Page'!I20)</f>
        <v>0</v>
      </c>
      <c r="L19" s="31">
        <f>IF(H19=" "," ",'Marking Page'!J20)</f>
        <v>0</v>
      </c>
      <c r="M19" s="31">
        <f>IF(I19=" "," ",'Marking Page'!K20)</f>
        <v>0</v>
      </c>
      <c r="N19" s="31">
        <f>IF(J19=" "," ",'Marking Page'!L20)</f>
        <v>0</v>
      </c>
      <c r="O19" s="31">
        <f>IF(L19=" "," ",'Marking Page'!M20)</f>
        <v>0</v>
      </c>
      <c r="P19" s="31">
        <f>IF(M19=" "," ",'Marking Page'!N20)</f>
        <v>0</v>
      </c>
      <c r="Q19" s="31">
        <f>IF(N19=" "," ",'Marking Page'!O20)</f>
        <v>0</v>
      </c>
      <c r="R19" s="31">
        <f>IF(O19=" "," ",'Marking Page'!P20)</f>
        <v>0</v>
      </c>
      <c r="S19" s="9" t="str">
        <f>'Marking Page'!V20</f>
        <v>B</v>
      </c>
      <c r="T19" s="35" t="str">
        <f t="shared" si="0"/>
        <v>Mandarin (Basic)</v>
      </c>
    </row>
    <row r="20" spans="1:20" x14ac:dyDescent="0.25">
      <c r="A20" s="19">
        <f>'Marking Page'!A21</f>
        <v>13</v>
      </c>
      <c r="B20" s="31" t="str">
        <f>'Marking Page'!B21</f>
        <v>790 / 0043891840</v>
      </c>
      <c r="C20" s="37" t="str">
        <f>'Marking Page'!C21</f>
        <v>JAMISON WIJAYA</v>
      </c>
      <c r="D20" s="31" t="str">
        <f>IF(C20=" "," ",HLOOKUP($R$3,gender,14,1))</f>
        <v>Male</v>
      </c>
      <c r="E20" s="31" t="str">
        <f>IF(C20=" "," ",HLOOKUP($R$3,birth,14,1))</f>
        <v>9 June 2004</v>
      </c>
      <c r="F20" s="31">
        <f>IF(C20=" "," ",'Marking Page'!D21)</f>
        <v>0</v>
      </c>
      <c r="G20" s="31">
        <f>IF(D20=" "," ",'Marking Page'!E21)</f>
        <v>0</v>
      </c>
      <c r="H20" s="31">
        <f>IF(E20=" "," ",'Marking Page'!F21)</f>
        <v>0</v>
      </c>
      <c r="I20" s="31">
        <f>IF(F20=" "," ",'Marking Page'!G21)</f>
        <v>0</v>
      </c>
      <c r="J20" s="31">
        <f>IF(G20=" "," ",'Marking Page'!H21)</f>
        <v>0</v>
      </c>
      <c r="K20" s="31">
        <f>IF(H20=" "," ",'Marking Page'!I21)</f>
        <v>0</v>
      </c>
      <c r="L20" s="31">
        <f>IF(H20=" "," ",'Marking Page'!J21)</f>
        <v>0</v>
      </c>
      <c r="M20" s="31">
        <f>IF(I20=" "," ",'Marking Page'!K21)</f>
        <v>0</v>
      </c>
      <c r="N20" s="31">
        <f>IF(J20=" "," ",'Marking Page'!L21)</f>
        <v>0</v>
      </c>
      <c r="O20" s="31">
        <f>IF(L20=" "," ",'Marking Page'!M21)</f>
        <v>0</v>
      </c>
      <c r="P20" s="31">
        <f>IF(M20=" "," ",'Marking Page'!N21)</f>
        <v>0</v>
      </c>
      <c r="Q20" s="31">
        <f>IF(N20=" "," ",'Marking Page'!O21)</f>
        <v>0</v>
      </c>
      <c r="R20" s="31">
        <f>IF(O20=" "," ",'Marking Page'!P21)</f>
        <v>0</v>
      </c>
      <c r="S20" s="9">
        <f>'Marking Page'!V21</f>
        <v>0</v>
      </c>
      <c r="T20" s="35" t="str">
        <f t="shared" si="0"/>
        <v>Mandarin (Intermediate)</v>
      </c>
    </row>
    <row r="21" spans="1:20" x14ac:dyDescent="0.25">
      <c r="A21" s="19">
        <f>'Marking Page'!A22</f>
        <v>14</v>
      </c>
      <c r="B21" s="31" t="str">
        <f>'Marking Page'!B22</f>
        <v>794 / 0056349351</v>
      </c>
      <c r="C21" s="37" t="str">
        <f>'Marking Page'!C22</f>
        <v>JENNIFER</v>
      </c>
      <c r="D21" s="31" t="str">
        <f>IF(C21=" "," ",HLOOKUP($R$3,gender,15,1))</f>
        <v>Female</v>
      </c>
      <c r="E21" s="31" t="str">
        <f>IF(C21=" "," ",HLOOKUP($R$3,birth,15,1))</f>
        <v>28 January 2005</v>
      </c>
      <c r="F21" s="31">
        <f>IF(C21=" "," ",'Marking Page'!D22)</f>
        <v>0</v>
      </c>
      <c r="G21" s="31">
        <f>IF(D21=" "," ",'Marking Page'!E22)</f>
        <v>0</v>
      </c>
      <c r="H21" s="31">
        <f>IF(E21=" "," ",'Marking Page'!F22)</f>
        <v>0</v>
      </c>
      <c r="I21" s="31">
        <f>IF(F21=" "," ",'Marking Page'!G22)</f>
        <v>0</v>
      </c>
      <c r="J21" s="31">
        <f>IF(G21=" "," ",'Marking Page'!H22)</f>
        <v>0</v>
      </c>
      <c r="K21" s="31">
        <f>IF(H21=" "," ",'Marking Page'!I22)</f>
        <v>0</v>
      </c>
      <c r="L21" s="31">
        <f>IF(H21=" "," ",'Marking Page'!J22)</f>
        <v>0</v>
      </c>
      <c r="M21" s="31">
        <f>IF(I21=" "," ",'Marking Page'!K22)</f>
        <v>0</v>
      </c>
      <c r="N21" s="31">
        <f>IF(J21=" "," ",'Marking Page'!L22)</f>
        <v>0</v>
      </c>
      <c r="O21" s="31">
        <f>IF(L21=" "," ",'Marking Page'!M22)</f>
        <v>0</v>
      </c>
      <c r="P21" s="31">
        <f>IF(M21=" "," ",'Marking Page'!N22)</f>
        <v>0</v>
      </c>
      <c r="Q21" s="31">
        <f>IF(N21=" "," ",'Marking Page'!O22)</f>
        <v>0</v>
      </c>
      <c r="R21" s="31">
        <f>IF(O21=" "," ",'Marking Page'!P22)</f>
        <v>0</v>
      </c>
      <c r="S21" s="9" t="str">
        <f>'Marking Page'!V22</f>
        <v>B</v>
      </c>
      <c r="T21" s="35" t="str">
        <f t="shared" si="0"/>
        <v>Mandarin (Basic)</v>
      </c>
    </row>
    <row r="22" spans="1:20" x14ac:dyDescent="0.25">
      <c r="A22" s="19">
        <f>'Marking Page'!A23</f>
        <v>15</v>
      </c>
      <c r="B22" s="31" t="str">
        <f>'Marking Page'!B23</f>
        <v>795 / 0050396547</v>
      </c>
      <c r="C22" s="37" t="str">
        <f>'Marking Page'!C23</f>
        <v>JENNIFER ALESSANDRA DIAZ SIMANJUNTAK</v>
      </c>
      <c r="D22" s="31" t="str">
        <f>IF(C22=" "," ",HLOOKUP($R$3,gender,16,1))</f>
        <v>Female</v>
      </c>
      <c r="E22" s="31" t="str">
        <f>IF(C22=" "," ",HLOOKUP($R$3,birth,16,1))</f>
        <v>6 January 2005</v>
      </c>
      <c r="F22" s="31">
        <f>IF(C22=" "," ",'Marking Page'!D23)</f>
        <v>0</v>
      </c>
      <c r="G22" s="31">
        <f>IF(D22=" "," ",'Marking Page'!E23)</f>
        <v>0</v>
      </c>
      <c r="H22" s="31">
        <f>IF(E22=" "," ",'Marking Page'!F23)</f>
        <v>0</v>
      </c>
      <c r="I22" s="31">
        <f>IF(F22=" "," ",'Marking Page'!G23)</f>
        <v>0</v>
      </c>
      <c r="J22" s="31">
        <f>IF(G22=" "," ",'Marking Page'!H23)</f>
        <v>0</v>
      </c>
      <c r="K22" s="31">
        <f>IF(H22=" "," ",'Marking Page'!I23)</f>
        <v>0</v>
      </c>
      <c r="L22" s="31">
        <f>IF(H22=" "," ",'Marking Page'!J23)</f>
        <v>0</v>
      </c>
      <c r="M22" s="31">
        <f>IF(I22=" "," ",'Marking Page'!K23)</f>
        <v>0</v>
      </c>
      <c r="N22" s="31">
        <f>IF(J22=" "," ",'Marking Page'!L23)</f>
        <v>0</v>
      </c>
      <c r="O22" s="31">
        <f>IF(L22=" "," ",'Marking Page'!M23)</f>
        <v>0</v>
      </c>
      <c r="P22" s="31">
        <f>IF(M22=" "," ",'Marking Page'!N23)</f>
        <v>0</v>
      </c>
      <c r="Q22" s="31">
        <f>IF(N22=" "," ",'Marking Page'!O23)</f>
        <v>0</v>
      </c>
      <c r="R22" s="31">
        <f>IF(O22=" "," ",'Marking Page'!P23)</f>
        <v>0</v>
      </c>
      <c r="S22" s="9">
        <f>'Marking Page'!V23</f>
        <v>0</v>
      </c>
      <c r="T22" s="35" t="str">
        <f t="shared" si="0"/>
        <v>Mandarin (Intermediate)</v>
      </c>
    </row>
    <row r="23" spans="1:20" x14ac:dyDescent="0.25">
      <c r="A23" s="19">
        <f>'Marking Page'!A24</f>
        <v>16</v>
      </c>
      <c r="B23" s="31" t="str">
        <f>'Marking Page'!B24</f>
        <v>797 / 0043916797</v>
      </c>
      <c r="C23" s="37" t="str">
        <f>'Marking Page'!C24</f>
        <v>JENNISE PATRICIA SUNARYO</v>
      </c>
      <c r="D23" s="31" t="str">
        <f>IF(C23=" "," ",HLOOKUP($R$3,gender,17,1))</f>
        <v>Female</v>
      </c>
      <c r="E23" s="31" t="str">
        <f>IF(C23=" "," ",HLOOKUP($R$3,birth,17,1))</f>
        <v>28 November 2004</v>
      </c>
      <c r="F23" s="31">
        <f>IF(C23=" "," ",'Marking Page'!D24)</f>
        <v>0</v>
      </c>
      <c r="G23" s="31">
        <f>IF(D23=" "," ",'Marking Page'!E24)</f>
        <v>0</v>
      </c>
      <c r="H23" s="31">
        <f>IF(E23=" "," ",'Marking Page'!F24)</f>
        <v>0</v>
      </c>
      <c r="I23" s="31">
        <f>IF(F23=" "," ",'Marking Page'!G24)</f>
        <v>0</v>
      </c>
      <c r="J23" s="31">
        <f>IF(G23=" "," ",'Marking Page'!H24)</f>
        <v>0</v>
      </c>
      <c r="K23" s="31">
        <f>IF(H23=" "," ",'Marking Page'!I24)</f>
        <v>0</v>
      </c>
      <c r="L23" s="31">
        <f>IF(H23=" "," ",'Marking Page'!J24)</f>
        <v>0</v>
      </c>
      <c r="M23" s="31">
        <f>IF(I23=" "," ",'Marking Page'!K24)</f>
        <v>0</v>
      </c>
      <c r="N23" s="31">
        <f>IF(J23=" "," ",'Marking Page'!L24)</f>
        <v>0</v>
      </c>
      <c r="O23" s="31">
        <f>IF(L23=" "," ",'Marking Page'!M24)</f>
        <v>0</v>
      </c>
      <c r="P23" s="31">
        <f>IF(M23=" "," ",'Marking Page'!N24)</f>
        <v>0</v>
      </c>
      <c r="Q23" s="31">
        <f>IF(N23=" "," ",'Marking Page'!O24)</f>
        <v>0</v>
      </c>
      <c r="R23" s="31">
        <f>IF(O23=" "," ",'Marking Page'!P24)</f>
        <v>0</v>
      </c>
      <c r="S23" s="9" t="str">
        <f>'Marking Page'!V24</f>
        <v>B</v>
      </c>
      <c r="T23" s="35" t="str">
        <f t="shared" si="0"/>
        <v>Mandarin (Basic)</v>
      </c>
    </row>
    <row r="24" spans="1:20" x14ac:dyDescent="0.25">
      <c r="A24" s="19">
        <f>'Marking Page'!A25</f>
        <v>17</v>
      </c>
      <c r="B24" s="31" t="str">
        <f>'Marking Page'!B25</f>
        <v>804 / 0035873843</v>
      </c>
      <c r="C24" s="37" t="str">
        <f>'Marking Page'!C25</f>
        <v>JOSEPHINE WIDJAJA</v>
      </c>
      <c r="D24" s="31" t="str">
        <f>IF(C24=" "," ",HLOOKUP($R$3,gender,18,1))</f>
        <v>Female</v>
      </c>
      <c r="E24" s="31" t="str">
        <f>IF(C24=" "," ",HLOOKUP($R$3,birth,18,1))</f>
        <v>18 October 2003</v>
      </c>
      <c r="F24" s="31">
        <f>IF(C24=" "," ",'Marking Page'!D25)</f>
        <v>0</v>
      </c>
      <c r="G24" s="31">
        <f>IF(D24=" "," ",'Marking Page'!E25)</f>
        <v>0</v>
      </c>
      <c r="H24" s="31">
        <f>IF(E24=" "," ",'Marking Page'!F25)</f>
        <v>0</v>
      </c>
      <c r="I24" s="31">
        <f>IF(F24=" "," ",'Marking Page'!G25)</f>
        <v>0</v>
      </c>
      <c r="J24" s="31">
        <f>IF(G24=" "," ",'Marking Page'!H25)</f>
        <v>0</v>
      </c>
      <c r="K24" s="31">
        <f>IF(H24=" "," ",'Marking Page'!I25)</f>
        <v>0</v>
      </c>
      <c r="L24" s="31">
        <f>IF(H24=" "," ",'Marking Page'!J25)</f>
        <v>0</v>
      </c>
      <c r="M24" s="31">
        <f>IF(I24=" "," ",'Marking Page'!K25)</f>
        <v>0</v>
      </c>
      <c r="N24" s="31">
        <f>IF(J24=" "," ",'Marking Page'!L25)</f>
        <v>0</v>
      </c>
      <c r="O24" s="31">
        <f>IF(L24=" "," ",'Marking Page'!M25)</f>
        <v>0</v>
      </c>
      <c r="P24" s="31">
        <f>IF(M24=" "," ",'Marking Page'!N25)</f>
        <v>0</v>
      </c>
      <c r="Q24" s="31">
        <f>IF(N24=" "," ",'Marking Page'!O25)</f>
        <v>0</v>
      </c>
      <c r="R24" s="31">
        <f>IF(O24=" "," ",'Marking Page'!P25)</f>
        <v>0</v>
      </c>
      <c r="S24" s="9" t="str">
        <f>'Marking Page'!V25</f>
        <v>B</v>
      </c>
      <c r="T24" s="35" t="str">
        <f t="shared" si="0"/>
        <v>Mandarin (Basic)</v>
      </c>
    </row>
    <row r="25" spans="1:20" x14ac:dyDescent="0.25">
      <c r="A25" s="19">
        <f>'Marking Page'!A26</f>
        <v>18</v>
      </c>
      <c r="B25" s="31" t="str">
        <f>'Marking Page'!B26</f>
        <v>805 / 0041796499</v>
      </c>
      <c r="C25" s="37" t="str">
        <f>'Marking Page'!C26</f>
        <v>JUAN NATHAN</v>
      </c>
      <c r="D25" s="31" t="str">
        <f>IF(C25=" "," ",HLOOKUP($R$3,gender,19,1))</f>
        <v>Male</v>
      </c>
      <c r="E25" s="31" t="str">
        <f>IF(C25=" "," ",HLOOKUP($R$3,birth,19,1))</f>
        <v>11 June 2004</v>
      </c>
      <c r="F25" s="31">
        <f>IF(C25=" "," ",'Marking Page'!D26)</f>
        <v>0</v>
      </c>
      <c r="G25" s="31">
        <f>IF(D25=" "," ",'Marking Page'!E26)</f>
        <v>0</v>
      </c>
      <c r="H25" s="31">
        <f>IF(E25=" "," ",'Marking Page'!F26)</f>
        <v>0</v>
      </c>
      <c r="I25" s="31">
        <f>IF(F25=" "," ",'Marking Page'!G26)</f>
        <v>0</v>
      </c>
      <c r="J25" s="31">
        <f>IF(G25=" "," ",'Marking Page'!H26)</f>
        <v>0</v>
      </c>
      <c r="K25" s="31">
        <f>IF(H25=" "," ",'Marking Page'!I26)</f>
        <v>0</v>
      </c>
      <c r="L25" s="31">
        <f>IF(H25=" "," ",'Marking Page'!J26)</f>
        <v>0</v>
      </c>
      <c r="M25" s="31">
        <f>IF(I25=" "," ",'Marking Page'!K26)</f>
        <v>0</v>
      </c>
      <c r="N25" s="31">
        <f>IF(J25=" "," ",'Marking Page'!L26)</f>
        <v>0</v>
      </c>
      <c r="O25" s="31">
        <f>IF(L25=" "," ",'Marking Page'!M26)</f>
        <v>0</v>
      </c>
      <c r="P25" s="31">
        <f>IF(M25=" "," ",'Marking Page'!N26)</f>
        <v>0</v>
      </c>
      <c r="Q25" s="31">
        <f>IF(N25=" "," ",'Marking Page'!O26)</f>
        <v>0</v>
      </c>
      <c r="R25" s="31">
        <f>IF(O25=" "," ",'Marking Page'!P26)</f>
        <v>0</v>
      </c>
      <c r="S25" s="9">
        <f>'Marking Page'!V26</f>
        <v>0</v>
      </c>
      <c r="T25" s="35" t="str">
        <f t="shared" si="0"/>
        <v>Mandarin (Intermediate)</v>
      </c>
    </row>
    <row r="26" spans="1:20" x14ac:dyDescent="0.25">
      <c r="A26" s="19">
        <f>'Marking Page'!A27</f>
        <v>19</v>
      </c>
      <c r="B26" s="31" t="str">
        <f>'Marking Page'!B27</f>
        <v>808 / 0041877712</v>
      </c>
      <c r="C26" s="37" t="str">
        <f>'Marking Page'!C27</f>
        <v>KATHRYN CAHYADI</v>
      </c>
      <c r="D26" s="31" t="str">
        <f>IF(C26=" "," ",HLOOKUP($R$3,gender,20,1))</f>
        <v>Female</v>
      </c>
      <c r="E26" s="31" t="str">
        <f>IF(C26=" "," ",HLOOKUP($R$3,birth,20,1))</f>
        <v>31 May 2004</v>
      </c>
      <c r="F26" s="31">
        <f>IF(C26=" "," ",'Marking Page'!D27)</f>
        <v>0</v>
      </c>
      <c r="G26" s="31">
        <f>IF(D26=" "," ",'Marking Page'!E27)</f>
        <v>0</v>
      </c>
      <c r="H26" s="31">
        <f>IF(E26=" "," ",'Marking Page'!F27)</f>
        <v>0</v>
      </c>
      <c r="I26" s="31">
        <f>IF(F26=" "," ",'Marking Page'!G27)</f>
        <v>0</v>
      </c>
      <c r="J26" s="31">
        <f>IF(G26=" "," ",'Marking Page'!H27)</f>
        <v>0</v>
      </c>
      <c r="K26" s="31">
        <f>IF(H26=" "," ",'Marking Page'!I27)</f>
        <v>0</v>
      </c>
      <c r="L26" s="31">
        <f>IF(H26=" "," ",'Marking Page'!J27)</f>
        <v>0</v>
      </c>
      <c r="M26" s="31">
        <f>IF(I26=" "," ",'Marking Page'!K27)</f>
        <v>0</v>
      </c>
      <c r="N26" s="31">
        <f>IF(J26=" "," ",'Marking Page'!L27)</f>
        <v>0</v>
      </c>
      <c r="O26" s="31">
        <f>IF(L26=" "," ",'Marking Page'!M27)</f>
        <v>0</v>
      </c>
      <c r="P26" s="31">
        <f>IF(M26=" "," ",'Marking Page'!N27)</f>
        <v>0</v>
      </c>
      <c r="Q26" s="31">
        <f>IF(N26=" "," ",'Marking Page'!O27)</f>
        <v>0</v>
      </c>
      <c r="R26" s="31">
        <f>IF(O26=" "," ",'Marking Page'!P27)</f>
        <v>0</v>
      </c>
      <c r="S26" s="9">
        <f>'Marking Page'!V27</f>
        <v>0</v>
      </c>
      <c r="T26" s="35" t="str">
        <f t="shared" si="0"/>
        <v>Mandarin (Intermediate)</v>
      </c>
    </row>
    <row r="27" spans="1:20" x14ac:dyDescent="0.25">
      <c r="A27" s="19">
        <f>'Marking Page'!A28</f>
        <v>20</v>
      </c>
      <c r="B27" s="31" t="str">
        <f>'Marking Page'!B28</f>
        <v>816 / 0041810135</v>
      </c>
      <c r="C27" s="37" t="str">
        <f>'Marking Page'!C28</f>
        <v>KYRA RISANTI RUSLY</v>
      </c>
      <c r="D27" s="31" t="str">
        <f>IF(C27=" "," ",HLOOKUP($R$3,gender,21,1))</f>
        <v>Female</v>
      </c>
      <c r="E27" s="31" t="str">
        <f>IF(C27=" "," ",HLOOKUP($R$3,birth,21,1))</f>
        <v>25 August 2004</v>
      </c>
      <c r="F27" s="31">
        <f>IF(C27=" "," ",'Marking Page'!D28)</f>
        <v>0</v>
      </c>
      <c r="G27" s="31">
        <f>IF(D27=" "," ",'Marking Page'!E28)</f>
        <v>0</v>
      </c>
      <c r="H27" s="31">
        <f>IF(E27=" "," ",'Marking Page'!F28)</f>
        <v>0</v>
      </c>
      <c r="I27" s="31">
        <f>IF(F27=" "," ",'Marking Page'!G28)</f>
        <v>0</v>
      </c>
      <c r="J27" s="31">
        <f>IF(G27=" "," ",'Marking Page'!H28)</f>
        <v>0</v>
      </c>
      <c r="K27" s="31">
        <f>IF(H27=" "," ",'Marking Page'!I28)</f>
        <v>0</v>
      </c>
      <c r="L27" s="31">
        <f>IF(H27=" "," ",'Marking Page'!J28)</f>
        <v>0</v>
      </c>
      <c r="M27" s="31">
        <f>IF(I27=" "," ",'Marking Page'!K28)</f>
        <v>0</v>
      </c>
      <c r="N27" s="31">
        <f>IF(J27=" "," ",'Marking Page'!L28)</f>
        <v>0</v>
      </c>
      <c r="O27" s="31">
        <f>IF(L27=" "," ",'Marking Page'!M28)</f>
        <v>0</v>
      </c>
      <c r="P27" s="31">
        <f>IF(M27=" "," ",'Marking Page'!N28)</f>
        <v>0</v>
      </c>
      <c r="Q27" s="31">
        <f>IF(N27=" "," ",'Marking Page'!O28)</f>
        <v>0</v>
      </c>
      <c r="R27" s="31">
        <f>IF(O27=" "," ",'Marking Page'!P28)</f>
        <v>0</v>
      </c>
      <c r="S27" s="9">
        <f>'Marking Page'!V28</f>
        <v>0</v>
      </c>
      <c r="T27" s="35" t="str">
        <f t="shared" si="0"/>
        <v>Mandarin (Intermediate)</v>
      </c>
    </row>
    <row r="28" spans="1:20" x14ac:dyDescent="0.25">
      <c r="A28" s="19">
        <f>'Marking Page'!A29</f>
        <v>21</v>
      </c>
      <c r="B28" s="31" t="str">
        <f>'Marking Page'!B29</f>
        <v>817 / 0041791548</v>
      </c>
      <c r="C28" s="37" t="str">
        <f>'Marking Page'!C29</f>
        <v>LOUIS VELASCO MULJONO</v>
      </c>
      <c r="D28" s="31" t="str">
        <f>IF(C28=" "," ",HLOOKUP($R$3,gender,22,1))</f>
        <v>Male</v>
      </c>
      <c r="E28" s="31" t="str">
        <f>IF(C28=" "," ",HLOOKUP($R$3,birth,22,1))</f>
        <v>23 July 2004</v>
      </c>
      <c r="F28" s="31">
        <f>IF(C28=" "," ",'Marking Page'!D29)</f>
        <v>0</v>
      </c>
      <c r="G28" s="31">
        <f>IF(D28=" "," ",'Marking Page'!E29)</f>
        <v>0</v>
      </c>
      <c r="H28" s="31">
        <f>IF(E28=" "," ",'Marking Page'!F29)</f>
        <v>0</v>
      </c>
      <c r="I28" s="31">
        <f>IF(F28=" "," ",'Marking Page'!G29)</f>
        <v>0</v>
      </c>
      <c r="J28" s="31">
        <f>IF(G28=" "," ",'Marking Page'!H29)</f>
        <v>0</v>
      </c>
      <c r="K28" s="31">
        <f>IF(H28=" "," ",'Marking Page'!I29)</f>
        <v>0</v>
      </c>
      <c r="L28" s="31">
        <f>IF(H28=" "," ",'Marking Page'!J29)</f>
        <v>0</v>
      </c>
      <c r="M28" s="31">
        <f>IF(I28=" "," ",'Marking Page'!K29)</f>
        <v>0</v>
      </c>
      <c r="N28" s="31">
        <f>IF(J28=" "," ",'Marking Page'!L29)</f>
        <v>0</v>
      </c>
      <c r="O28" s="31">
        <f>IF(L28=" "," ",'Marking Page'!M29)</f>
        <v>0</v>
      </c>
      <c r="P28" s="31">
        <f>IF(M28=" "," ",'Marking Page'!N29)</f>
        <v>0</v>
      </c>
      <c r="Q28" s="31">
        <f>IF(N28=" "," ",'Marking Page'!O29)</f>
        <v>0</v>
      </c>
      <c r="R28" s="31">
        <f>IF(O28=" "," ",'Marking Page'!P29)</f>
        <v>0</v>
      </c>
      <c r="S28" s="9">
        <f>'Marking Page'!V29</f>
        <v>0</v>
      </c>
      <c r="T28" s="35" t="str">
        <f t="shared" si="0"/>
        <v>Mandarin (Intermediate)</v>
      </c>
    </row>
    <row r="29" spans="1:20" x14ac:dyDescent="0.25">
      <c r="A29" s="19">
        <f>'Marking Page'!A30</f>
        <v>22</v>
      </c>
      <c r="B29" s="31" t="str">
        <f>'Marking Page'!B30</f>
        <v>832 / 0035874789</v>
      </c>
      <c r="C29" s="37" t="str">
        <f>'Marking Page'!C30</f>
        <v>NICOLE VENA CHANDRA</v>
      </c>
      <c r="D29" s="31" t="str">
        <f>IF(C29=" "," ",HLOOKUP($R$3,gender,23,1))</f>
        <v>Female</v>
      </c>
      <c r="E29" s="31" t="str">
        <f>IF(C29=" "," ",HLOOKUP($R$3,birth,23,1))</f>
        <v>7 December 2003</v>
      </c>
      <c r="F29" s="31">
        <f>IF(C29=" "," ",'Marking Page'!D30)</f>
        <v>0</v>
      </c>
      <c r="G29" s="31">
        <f>IF(D29=" "," ",'Marking Page'!E30)</f>
        <v>0</v>
      </c>
      <c r="H29" s="31">
        <f>IF(E29=" "," ",'Marking Page'!F30)</f>
        <v>0</v>
      </c>
      <c r="I29" s="31">
        <f>IF(F29=" "," ",'Marking Page'!G30)</f>
        <v>0</v>
      </c>
      <c r="J29" s="31">
        <f>IF(G29=" "," ",'Marking Page'!H30)</f>
        <v>0</v>
      </c>
      <c r="K29" s="31">
        <f>IF(H29=" "," ",'Marking Page'!I30)</f>
        <v>0</v>
      </c>
      <c r="L29" s="31">
        <f>IF(H29=" "," ",'Marking Page'!J30)</f>
        <v>0</v>
      </c>
      <c r="M29" s="31">
        <f>IF(I29=" "," ",'Marking Page'!K30)</f>
        <v>0</v>
      </c>
      <c r="N29" s="31">
        <f>IF(J29=" "," ",'Marking Page'!L30)</f>
        <v>0</v>
      </c>
      <c r="O29" s="31">
        <f>IF(L29=" "," ",'Marking Page'!M30)</f>
        <v>0</v>
      </c>
      <c r="P29" s="31">
        <f>IF(M29=" "," ",'Marking Page'!N30)</f>
        <v>0</v>
      </c>
      <c r="Q29" s="31">
        <f>IF(N29=" "," ",'Marking Page'!O30)</f>
        <v>0</v>
      </c>
      <c r="R29" s="31">
        <f>IF(O29=" "," ",'Marking Page'!P30)</f>
        <v>0</v>
      </c>
      <c r="S29" s="9">
        <f>'Marking Page'!V30</f>
        <v>0</v>
      </c>
      <c r="T29" s="35" t="str">
        <f t="shared" si="0"/>
        <v>Mandarin (Intermediate)</v>
      </c>
    </row>
    <row r="30" spans="1:20" x14ac:dyDescent="0.25">
      <c r="A30" s="19">
        <f>'Marking Page'!A31</f>
        <v>23</v>
      </c>
      <c r="B30" s="31" t="str">
        <f>'Marking Page'!B31</f>
        <v>851 / 0047994919</v>
      </c>
      <c r="C30" s="37" t="str">
        <f>'Marking Page'!C31</f>
        <v>WILSON EKAPUTRA TANUWIDJAJA</v>
      </c>
      <c r="D30" s="31" t="str">
        <f>IF(C30=" "," ",HLOOKUP($R$3,gender,24,1))</f>
        <v>Male</v>
      </c>
      <c r="E30" s="31" t="str">
        <f>IF(C30=" "," ",HLOOKUP($R$3,birth,24,1))</f>
        <v>27 December 2003</v>
      </c>
      <c r="F30" s="31">
        <f>IF(C30=" "," ",'Marking Page'!D31)</f>
        <v>0</v>
      </c>
      <c r="G30" s="31">
        <f>IF(D30=" "," ",'Marking Page'!E31)</f>
        <v>0</v>
      </c>
      <c r="H30" s="31">
        <f>IF(E30=" "," ",'Marking Page'!F31)</f>
        <v>0</v>
      </c>
      <c r="I30" s="31">
        <f>IF(F30=" "," ",'Marking Page'!G31)</f>
        <v>0</v>
      </c>
      <c r="J30" s="31">
        <f>IF(G30=" "," ",'Marking Page'!H31)</f>
        <v>0</v>
      </c>
      <c r="K30" s="31">
        <f>IF(H30=" "," ",'Marking Page'!I31)</f>
        <v>0</v>
      </c>
      <c r="L30" s="31">
        <f>IF(H30=" "," ",'Marking Page'!J31)</f>
        <v>0</v>
      </c>
      <c r="M30" s="31">
        <f>IF(I30=" "," ",'Marking Page'!K31)</f>
        <v>0</v>
      </c>
      <c r="N30" s="31">
        <f>IF(J30=" "," ",'Marking Page'!L31)</f>
        <v>0</v>
      </c>
      <c r="O30" s="31">
        <f>IF(L30=" "," ",'Marking Page'!M31)</f>
        <v>0</v>
      </c>
      <c r="P30" s="31">
        <f>IF(M30=" "," ",'Marking Page'!N31)</f>
        <v>0</v>
      </c>
      <c r="Q30" s="31">
        <f>IF(N30=" "," ",'Marking Page'!O31)</f>
        <v>0</v>
      </c>
      <c r="R30" s="31">
        <f>IF(O30=" "," ",'Marking Page'!P31)</f>
        <v>0</v>
      </c>
      <c r="S30" s="9">
        <f>'Marking Page'!V31</f>
        <v>0</v>
      </c>
      <c r="T30" s="35" t="str">
        <f t="shared" si="0"/>
        <v>Mandarin (Intermediate)</v>
      </c>
    </row>
    <row r="31" spans="1:20" x14ac:dyDescent="0.25">
      <c r="A31" s="19" t="str">
        <f>'Marking Page'!A32</f>
        <v xml:space="preserve"> </v>
      </c>
      <c r="B31" s="31" t="str">
        <f>'Marking Page'!B32</f>
        <v xml:space="preserve"> </v>
      </c>
      <c r="C31" s="37" t="str">
        <f>'Marking Page'!C32</f>
        <v xml:space="preserve"> </v>
      </c>
      <c r="D31" s="31" t="str">
        <f>IF(C31=" "," ",HLOOKUP($R$3,gender,25,1))</f>
        <v xml:space="preserve"> </v>
      </c>
      <c r="E31" s="31" t="str">
        <f>IF(C31=" "," ",HLOOKUP($R$3,birth,25,1))</f>
        <v xml:space="preserve"> </v>
      </c>
      <c r="F31" s="31" t="str">
        <f>IF(C31=" "," ",'Marking Page'!D32)</f>
        <v xml:space="preserve"> </v>
      </c>
      <c r="G31" s="31" t="str">
        <f>IF(D31=" "," ",'Marking Page'!E32)</f>
        <v xml:space="preserve"> </v>
      </c>
      <c r="H31" s="31" t="str">
        <f>IF(E31=" "," ",'Marking Page'!F32)</f>
        <v xml:space="preserve"> </v>
      </c>
      <c r="I31" s="31" t="str">
        <f>IF(F31=" "," ",'Marking Page'!G32)</f>
        <v xml:space="preserve"> </v>
      </c>
      <c r="J31" s="31" t="str">
        <f>IF(G31=" "," ",'Marking Page'!H32)</f>
        <v xml:space="preserve"> </v>
      </c>
      <c r="K31" s="31" t="str">
        <f>IF(H31=" "," ",'Marking Page'!I32)</f>
        <v xml:space="preserve"> </v>
      </c>
      <c r="L31" s="31" t="str">
        <f>IF(H31=" "," ",'Marking Page'!J32)</f>
        <v xml:space="preserve"> </v>
      </c>
      <c r="M31" s="31" t="str">
        <f>IF(I31=" "," ",'Marking Page'!K32)</f>
        <v xml:space="preserve"> </v>
      </c>
      <c r="N31" s="31" t="str">
        <f>IF(J31=" "," ",'Marking Page'!L32)</f>
        <v xml:space="preserve"> </v>
      </c>
      <c r="O31" s="31" t="str">
        <f>IF(L31=" "," ",'Marking Page'!M32)</f>
        <v xml:space="preserve"> </v>
      </c>
      <c r="P31" s="31" t="str">
        <f>IF(M31=" "," ",'Marking Page'!N32)</f>
        <v xml:space="preserve"> </v>
      </c>
      <c r="Q31" s="31" t="str">
        <f>IF(N31=" "," ",'Marking Page'!O32)</f>
        <v xml:space="preserve"> </v>
      </c>
      <c r="R31" s="31" t="str">
        <f>IF(O31=" "," ",'Marking Page'!P32)</f>
        <v xml:space="preserve"> </v>
      </c>
      <c r="S31" s="9" t="str">
        <f>'Marking Page'!V32</f>
        <v xml:space="preserve"> </v>
      </c>
      <c r="T31" s="35" t="str">
        <f t="shared" si="0"/>
        <v xml:space="preserve"> </v>
      </c>
    </row>
    <row r="32" spans="1:20" x14ac:dyDescent="0.25">
      <c r="A32" s="19" t="str">
        <f>'Marking Page'!A33</f>
        <v xml:space="preserve"> </v>
      </c>
      <c r="B32" s="31" t="str">
        <f>'Marking Page'!B33</f>
        <v xml:space="preserve"> </v>
      </c>
      <c r="C32" s="37" t="str">
        <f>'Marking Page'!C33</f>
        <v xml:space="preserve"> </v>
      </c>
      <c r="D32" s="31" t="str">
        <f>IF(C32=" "," ",HLOOKUP($R$3,gender,26,1))</f>
        <v xml:space="preserve"> </v>
      </c>
      <c r="E32" s="31" t="str">
        <f>IF(C32=" "," ",HLOOKUP($R$3,birth,26,1))</f>
        <v xml:space="preserve"> </v>
      </c>
      <c r="F32" s="31" t="str">
        <f>IF(C32=" "," ",'Marking Page'!D33)</f>
        <v xml:space="preserve"> </v>
      </c>
      <c r="G32" s="31" t="str">
        <f>IF(D32=" "," ",'Marking Page'!E33)</f>
        <v xml:space="preserve"> </v>
      </c>
      <c r="H32" s="31" t="str">
        <f>IF(E32=" "," ",'Marking Page'!F33)</f>
        <v xml:space="preserve"> </v>
      </c>
      <c r="I32" s="31" t="str">
        <f>IF(F32=" "," ",'Marking Page'!G33)</f>
        <v xml:space="preserve"> </v>
      </c>
      <c r="J32" s="31" t="str">
        <f>IF(G32=" "," ",'Marking Page'!H33)</f>
        <v xml:space="preserve"> </v>
      </c>
      <c r="K32" s="31" t="str">
        <f>IF(H32=" "," ",'Marking Page'!I33)</f>
        <v xml:space="preserve"> </v>
      </c>
      <c r="L32" s="31" t="str">
        <f>IF(H32=" "," ",'Marking Page'!J33)</f>
        <v xml:space="preserve"> </v>
      </c>
      <c r="M32" s="31" t="str">
        <f>IF(I32=" "," ",'Marking Page'!K33)</f>
        <v xml:space="preserve"> </v>
      </c>
      <c r="N32" s="31" t="str">
        <f>IF(J32=" "," ",'Marking Page'!L33)</f>
        <v xml:space="preserve"> </v>
      </c>
      <c r="O32" s="31" t="str">
        <f>IF(L32=" "," ",'Marking Page'!M33)</f>
        <v xml:space="preserve"> </v>
      </c>
      <c r="P32" s="31" t="str">
        <f>IF(M32=" "," ",'Marking Page'!N33)</f>
        <v xml:space="preserve"> </v>
      </c>
      <c r="Q32" s="31" t="str">
        <f>IF(N32=" "," ",'Marking Page'!O33)</f>
        <v xml:space="preserve"> </v>
      </c>
      <c r="R32" s="31" t="str">
        <f>IF(O32=" "," ",'Marking Page'!P33)</f>
        <v xml:space="preserve"> </v>
      </c>
      <c r="S32" s="9" t="str">
        <f>'Marking Page'!V33</f>
        <v xml:space="preserve"> </v>
      </c>
      <c r="T32" s="35" t="str">
        <f t="shared" ref="T32:T33" si="1">IF(S32=" "," ",IF(S32="B","Mandarin (Basic)","Mandarin (Intermediate)"))</f>
        <v xml:space="preserve"> </v>
      </c>
    </row>
    <row r="33" spans="1:20" x14ac:dyDescent="0.25">
      <c r="A33" s="19" t="str">
        <f>'Marking Page'!A34</f>
        <v xml:space="preserve"> </v>
      </c>
      <c r="B33" s="31" t="str">
        <f>'Marking Page'!B34</f>
        <v xml:space="preserve"> </v>
      </c>
      <c r="C33" s="37" t="str">
        <f>'Marking Page'!C34</f>
        <v xml:space="preserve"> </v>
      </c>
      <c r="D33" s="31" t="str">
        <f>IF(C33=" "," ",HLOOKUP($R$3,gender,27,1))</f>
        <v xml:space="preserve"> </v>
      </c>
      <c r="E33" s="31" t="str">
        <f>IF(C33=" "," ",HLOOKUP($R$3,birth,27,1))</f>
        <v xml:space="preserve"> </v>
      </c>
      <c r="F33" s="31" t="str">
        <f>IF(C33=" "," ",'Marking Page'!D34)</f>
        <v xml:space="preserve"> </v>
      </c>
      <c r="G33" s="31" t="str">
        <f>IF(D33=" "," ",'Marking Page'!E34)</f>
        <v xml:space="preserve"> </v>
      </c>
      <c r="H33" s="31" t="str">
        <f>IF(E33=" "," ",'Marking Page'!F34)</f>
        <v xml:space="preserve"> </v>
      </c>
      <c r="I33" s="31" t="str">
        <f>IF(F33=" "," ",'Marking Page'!G34)</f>
        <v xml:space="preserve"> </v>
      </c>
      <c r="J33" s="31" t="str">
        <f>IF(G33=" "," ",'Marking Page'!H34)</f>
        <v xml:space="preserve"> </v>
      </c>
      <c r="K33" s="31" t="str">
        <f>IF(H33=" "," ",'Marking Page'!I34)</f>
        <v xml:space="preserve"> </v>
      </c>
      <c r="L33" s="31" t="str">
        <f>IF(H33=" "," ",'Marking Page'!J34)</f>
        <v xml:space="preserve"> </v>
      </c>
      <c r="M33" s="31" t="str">
        <f>IF(I33=" "," ",'Marking Page'!K34)</f>
        <v xml:space="preserve"> </v>
      </c>
      <c r="N33" s="31" t="str">
        <f>IF(J33=" "," ",'Marking Page'!L34)</f>
        <v xml:space="preserve"> </v>
      </c>
      <c r="O33" s="31" t="str">
        <f>IF(L33=" "," ",'Marking Page'!M34)</f>
        <v xml:space="preserve"> </v>
      </c>
      <c r="P33" s="31" t="str">
        <f>IF(M33=" "," ",'Marking Page'!N34)</f>
        <v xml:space="preserve"> </v>
      </c>
      <c r="Q33" s="31" t="str">
        <f>IF(N33=" "," ",'Marking Page'!O34)</f>
        <v xml:space="preserve"> </v>
      </c>
      <c r="R33" s="31" t="str">
        <f>IF(O33=" "," ",'Marking Page'!P34)</f>
        <v xml:space="preserve"> </v>
      </c>
      <c r="S33" s="9" t="str">
        <f>'Marking Page'!V34</f>
        <v xml:space="preserve"> </v>
      </c>
      <c r="T33" s="35" t="str">
        <f t="shared" si="1"/>
        <v xml:space="preserve"> </v>
      </c>
    </row>
    <row r="34" spans="1:20" x14ac:dyDescent="0.25"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20" x14ac:dyDescent="0.25"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20" x14ac:dyDescent="0.25"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20" x14ac:dyDescent="0.25"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20" x14ac:dyDescent="0.25"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20" x14ac:dyDescent="0.25">
      <c r="B39" s="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1:20" x14ac:dyDescent="0.25"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1:20" x14ac:dyDescent="0.25"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1:20" x14ac:dyDescent="0.25"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20" x14ac:dyDescent="0.25"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20" x14ac:dyDescent="0.25"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20" x14ac:dyDescent="0.25"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20" x14ac:dyDescent="0.25"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20" x14ac:dyDescent="0.25"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20" x14ac:dyDescent="0.25"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6:18" x14ac:dyDescent="0.25"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6:18" x14ac:dyDescent="0.25"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6:18" x14ac:dyDescent="0.25"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6:18" x14ac:dyDescent="0.25"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6:18" x14ac:dyDescent="0.25"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6:18" x14ac:dyDescent="0.25"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6:18" x14ac:dyDescent="0.25"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6:18" x14ac:dyDescent="0.25"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6:18" x14ac:dyDescent="0.25"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6:18" x14ac:dyDescent="0.25"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6:18" x14ac:dyDescent="0.25"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6:18" x14ac:dyDescent="0.25"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6:18" x14ac:dyDescent="0.25"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6:18" x14ac:dyDescent="0.25"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6:18" x14ac:dyDescent="0.25"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6:18" x14ac:dyDescent="0.25"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6:18" x14ac:dyDescent="0.25"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6:18" x14ac:dyDescent="0.25"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6:18" x14ac:dyDescent="0.25"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6:18" x14ac:dyDescent="0.25"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6:18" x14ac:dyDescent="0.25"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6:18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6:18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6:18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6:18" x14ac:dyDescent="0.25"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6:18" x14ac:dyDescent="0.25"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6:18" x14ac:dyDescent="0.25"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6:18" x14ac:dyDescent="0.25"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6:18" x14ac:dyDescent="0.25"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6:18" x14ac:dyDescent="0.25"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6:18" x14ac:dyDescent="0.25"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6:18" x14ac:dyDescent="0.25"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6:18" x14ac:dyDescent="0.25"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6:18" x14ac:dyDescent="0.25"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6:18" x14ac:dyDescent="0.25"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6:18" x14ac:dyDescent="0.25"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6:18" x14ac:dyDescent="0.25"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6:18" x14ac:dyDescent="0.25"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6:18" x14ac:dyDescent="0.25"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6:18" x14ac:dyDescent="0.25"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6:18" x14ac:dyDescent="0.25"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6:18" x14ac:dyDescent="0.25"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6:18" x14ac:dyDescent="0.25"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6:18" x14ac:dyDescent="0.25"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6:18" x14ac:dyDescent="0.25"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6:18" x14ac:dyDescent="0.25"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6:18" x14ac:dyDescent="0.25"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6:18" x14ac:dyDescent="0.25"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6:18" x14ac:dyDescent="0.25"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6:18" x14ac:dyDescent="0.25"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6:18" x14ac:dyDescent="0.25"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6:18" x14ac:dyDescent="0.25"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6:18" x14ac:dyDescent="0.25"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6:18" x14ac:dyDescent="0.25"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6:18" x14ac:dyDescent="0.25"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6:18" x14ac:dyDescent="0.25"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6:18" x14ac:dyDescent="0.25"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</sheetData>
  <mergeCells count="8">
    <mergeCell ref="S6:S7"/>
    <mergeCell ref="T6:T7"/>
    <mergeCell ref="A6:A7"/>
    <mergeCell ref="B6:B7"/>
    <mergeCell ref="C6:C7"/>
    <mergeCell ref="F6:R6"/>
    <mergeCell ref="D6:D7"/>
    <mergeCell ref="E6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2:N107"/>
  <sheetViews>
    <sheetView showGridLines="0" topLeftCell="A3" zoomScale="85" zoomScaleNormal="85" workbookViewId="0">
      <selection activeCell="E24" sqref="E24"/>
    </sheetView>
  </sheetViews>
  <sheetFormatPr defaultColWidth="9.140625" defaultRowHeight="15" x14ac:dyDescent="0.25"/>
  <cols>
    <col min="1" max="1" width="9.140625" style="39"/>
    <col min="2" max="2" width="17.7109375" style="39" customWidth="1"/>
    <col min="3" max="3" width="30.7109375" style="39" customWidth="1"/>
    <col min="4" max="7" width="15.42578125" style="39" customWidth="1"/>
    <col min="8" max="8" width="15.7109375" style="39" customWidth="1"/>
    <col min="9" max="9" width="8.7109375" style="39" customWidth="1"/>
    <col min="10" max="10" width="15.7109375" style="39" customWidth="1"/>
    <col min="11" max="11" width="8.7109375" style="39" customWidth="1"/>
    <col min="12" max="14" width="10.140625" style="39" customWidth="1"/>
    <col min="15" max="16384" width="9.140625" style="39"/>
  </cols>
  <sheetData>
    <row r="2" spans="1:14" ht="30" x14ac:dyDescent="0.4">
      <c r="B2" s="40" t="s">
        <v>1</v>
      </c>
    </row>
    <row r="4" spans="1:14" ht="31.5" x14ac:dyDescent="0.5">
      <c r="A4" s="41" t="s">
        <v>234</v>
      </c>
    </row>
    <row r="5" spans="1:14" x14ac:dyDescent="0.25">
      <c r="A5" s="67" t="str">
        <f>Cover!G14</f>
        <v>Term 1</v>
      </c>
      <c r="B5" s="68" t="s">
        <v>195</v>
      </c>
      <c r="C5" s="69" t="str">
        <f>Cover!L14</f>
        <v>2018 / 2019</v>
      </c>
      <c r="D5" s="54"/>
      <c r="M5" s="67" t="s">
        <v>41</v>
      </c>
      <c r="N5" s="70">
        <f>Cover!C14</f>
        <v>9.1</v>
      </c>
    </row>
    <row r="7" spans="1:14" x14ac:dyDescent="0.25">
      <c r="A7" s="163" t="s">
        <v>27</v>
      </c>
      <c r="B7" s="163" t="s">
        <v>28</v>
      </c>
      <c r="C7" s="163" t="s">
        <v>29</v>
      </c>
      <c r="D7" s="166" t="s">
        <v>228</v>
      </c>
      <c r="E7" s="167"/>
      <c r="F7" s="167"/>
      <c r="G7" s="168"/>
      <c r="H7" s="166" t="s">
        <v>230</v>
      </c>
      <c r="I7" s="167"/>
      <c r="J7" s="167"/>
      <c r="K7" s="168"/>
      <c r="L7" s="166" t="s">
        <v>225</v>
      </c>
      <c r="M7" s="167"/>
      <c r="N7" s="168"/>
    </row>
    <row r="8" spans="1:14" x14ac:dyDescent="0.25">
      <c r="A8" s="163"/>
      <c r="B8" s="163"/>
      <c r="C8" s="163"/>
      <c r="D8" s="71" t="s">
        <v>220</v>
      </c>
      <c r="E8" s="71" t="s">
        <v>205</v>
      </c>
      <c r="F8" s="71" t="s">
        <v>206</v>
      </c>
      <c r="G8" s="71" t="s">
        <v>229</v>
      </c>
      <c r="H8" s="71">
        <v>1</v>
      </c>
      <c r="I8" s="71" t="s">
        <v>221</v>
      </c>
      <c r="J8" s="71">
        <v>2</v>
      </c>
      <c r="K8" s="71" t="s">
        <v>221</v>
      </c>
      <c r="L8" s="71" t="s">
        <v>231</v>
      </c>
      <c r="M8" s="71" t="s">
        <v>232</v>
      </c>
      <c r="N8" s="71" t="s">
        <v>233</v>
      </c>
    </row>
    <row r="9" spans="1:14" x14ac:dyDescent="0.25">
      <c r="A9" s="72">
        <f>'Marking Page'!A9</f>
        <v>1</v>
      </c>
      <c r="B9" s="73" t="str">
        <f>'Marking Page'!B9</f>
        <v>757 / 0046197583</v>
      </c>
      <c r="C9" s="74" t="str">
        <f>'Marking Page'!C9</f>
        <v>ADELBERT REINHARD RIANG</v>
      </c>
      <c r="D9" s="78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x14ac:dyDescent="0.25">
      <c r="A10" s="72">
        <f>'Marking Page'!A10</f>
        <v>2</v>
      </c>
      <c r="B10" s="73" t="str">
        <f>'Marking Page'!B10</f>
        <v>758 / 0042039979</v>
      </c>
      <c r="C10" s="74" t="str">
        <f>'Marking Page'!C10</f>
        <v>ALENA PANNA SOEGIANTO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5">
      <c r="A11" s="72">
        <f>'Marking Page'!A11</f>
        <v>3</v>
      </c>
      <c r="B11" s="73" t="str">
        <f>'Marking Page'!B11</f>
        <v>759 / 0041875773</v>
      </c>
      <c r="C11" s="74" t="str">
        <f>'Marking Page'!C11</f>
        <v>AMARANTA KENNISHIA DIMATEA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</row>
    <row r="12" spans="1:14" x14ac:dyDescent="0.25">
      <c r="A12" s="72">
        <f>'Marking Page'!A12</f>
        <v>4</v>
      </c>
      <c r="B12" s="73" t="str">
        <f>'Marking Page'!B12</f>
        <v>767 / 0041795656</v>
      </c>
      <c r="C12" s="74" t="str">
        <f>'Marking Page'!C12</f>
        <v>CHARISSA NINA JONATHAN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5">
      <c r="A13" s="72">
        <f>'Marking Page'!A13</f>
        <v>5</v>
      </c>
      <c r="B13" s="73" t="str">
        <f>'Marking Page'!B13</f>
        <v>770 / 0045192456</v>
      </c>
      <c r="C13" s="74" t="str">
        <f>'Marking Page'!C13</f>
        <v>CHRISTIAN NATHANAEL P.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</row>
    <row r="14" spans="1:14" x14ac:dyDescent="0.25">
      <c r="A14" s="72">
        <f>'Marking Page'!A14</f>
        <v>6</v>
      </c>
      <c r="B14" s="73" t="str">
        <f>'Marking Page'!B14</f>
        <v>771 / 0043891453</v>
      </c>
      <c r="C14" s="74" t="str">
        <f>'Marking Page'!C14</f>
        <v>CHRISTOPHE ANDRE  AGUNG LAWIN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5">
      <c r="A15" s="72">
        <f>'Marking Page'!A15</f>
        <v>7</v>
      </c>
      <c r="B15" s="73" t="str">
        <f>'Marking Page'!B15</f>
        <v>776 / 0040871555</v>
      </c>
      <c r="C15" s="74" t="str">
        <f>'Marking Page'!C15</f>
        <v>COLLIN DIMAS SANTOSO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1:14" x14ac:dyDescent="0.25">
      <c r="A16" s="72">
        <f>'Marking Page'!A16</f>
        <v>8</v>
      </c>
      <c r="B16" s="73" t="str">
        <f>'Marking Page'!B16</f>
        <v>777 / 0042039732</v>
      </c>
      <c r="C16" s="74" t="str">
        <f>'Marking Page'!C16</f>
        <v>CRYSTALIA REDEMPTA SHANNIQUE AVEZA WANGSA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5">
      <c r="A17" s="72">
        <f>'Marking Page'!A17</f>
        <v>9</v>
      </c>
      <c r="B17" s="73" t="str">
        <f>'Marking Page'!B17</f>
        <v>781 / 0031895380</v>
      </c>
      <c r="C17" s="74" t="str">
        <f>'Marking Page'!C17</f>
        <v>DONI ANTONIO PUTRA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x14ac:dyDescent="0.25">
      <c r="A18" s="72">
        <f>'Marking Page'!A18</f>
        <v>10</v>
      </c>
      <c r="B18" s="73" t="str">
        <f>'Marking Page'!B18</f>
        <v>782 / 0029370221</v>
      </c>
      <c r="C18" s="74" t="str">
        <f>'Marking Page'!C18</f>
        <v>EUGENE JEREMY KIE TOREDJO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5">
      <c r="A19" s="72">
        <f>'Marking Page'!A19</f>
        <v>11</v>
      </c>
      <c r="B19" s="73" t="str">
        <f>'Marking Page'!B19</f>
        <v>785 / 0041810813</v>
      </c>
      <c r="C19" s="74" t="str">
        <f>'Marking Page'!C19</f>
        <v>FILBERT MATHIAS HALOMOAN SITORUS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x14ac:dyDescent="0.25">
      <c r="A20" s="72">
        <f>'Marking Page'!A20</f>
        <v>12</v>
      </c>
      <c r="B20" s="73" t="str">
        <f>'Marking Page'!B20</f>
        <v>789 / 0040871540</v>
      </c>
      <c r="C20" s="74" t="str">
        <f>'Marking Page'!C20</f>
        <v>ISHAK ZERAH TANUPUTRA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5">
      <c r="A21" s="72">
        <f>'Marking Page'!A21</f>
        <v>13</v>
      </c>
      <c r="B21" s="73" t="str">
        <f>'Marking Page'!B21</f>
        <v>790 / 0043891840</v>
      </c>
      <c r="C21" s="74" t="str">
        <f>'Marking Page'!C21</f>
        <v>JAMISON WIJAYA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5">
      <c r="A22" s="72">
        <f>'Marking Page'!A22</f>
        <v>14</v>
      </c>
      <c r="B22" s="73" t="str">
        <f>'Marking Page'!B22</f>
        <v>794 / 0056349351</v>
      </c>
      <c r="C22" s="74" t="str">
        <f>'Marking Page'!C22</f>
        <v>JENNIFER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</row>
    <row r="23" spans="1:14" x14ac:dyDescent="0.25">
      <c r="A23" s="72">
        <f>'Marking Page'!A23</f>
        <v>15</v>
      </c>
      <c r="B23" s="73" t="str">
        <f>'Marking Page'!B23</f>
        <v>795 / 0050396547</v>
      </c>
      <c r="C23" s="74" t="str">
        <f>'Marking Page'!C23</f>
        <v>JENNIFER ALESSANDRA DIAZ SIMANJUNTAK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5">
      <c r="A24" s="72">
        <f>'Marking Page'!A24</f>
        <v>16</v>
      </c>
      <c r="B24" s="73" t="str">
        <f>'Marking Page'!B24</f>
        <v>797 / 0043916797</v>
      </c>
      <c r="C24" s="74" t="str">
        <f>'Marking Page'!C24</f>
        <v>JENNISE PATRICIA SUNARYO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5">
      <c r="A25" s="72">
        <f>'Marking Page'!A25</f>
        <v>17</v>
      </c>
      <c r="B25" s="73" t="str">
        <f>'Marking Page'!B25</f>
        <v>804 / 0035873843</v>
      </c>
      <c r="C25" s="74" t="str">
        <f>'Marking Page'!C25</f>
        <v>JOSEPHINE WIDJAJA</v>
      </c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</row>
    <row r="26" spans="1:14" x14ac:dyDescent="0.25">
      <c r="A26" s="72">
        <f>'Marking Page'!A26</f>
        <v>18</v>
      </c>
      <c r="B26" s="73" t="str">
        <f>'Marking Page'!B26</f>
        <v>805 / 0041796499</v>
      </c>
      <c r="C26" s="74" t="str">
        <f>'Marking Page'!C26</f>
        <v>JUAN NATHAN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5">
      <c r="A27" s="72">
        <f>'Marking Page'!A27</f>
        <v>19</v>
      </c>
      <c r="B27" s="73" t="str">
        <f>'Marking Page'!B27</f>
        <v>808 / 0041877712</v>
      </c>
      <c r="C27" s="74" t="str">
        <f>'Marking Page'!C27</f>
        <v>KATHRYN CAHYADI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</row>
    <row r="28" spans="1:14" x14ac:dyDescent="0.25">
      <c r="A28" s="72">
        <f>'Marking Page'!A28</f>
        <v>20</v>
      </c>
      <c r="B28" s="73" t="str">
        <f>'Marking Page'!B28</f>
        <v>816 / 0041810135</v>
      </c>
      <c r="C28" s="74" t="str">
        <f>'Marking Page'!C28</f>
        <v>KYRA RISANTI RUSLY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5">
      <c r="A29" s="72">
        <f>'Marking Page'!A29</f>
        <v>21</v>
      </c>
      <c r="B29" s="73" t="str">
        <f>'Marking Page'!B29</f>
        <v>817 / 0041791548</v>
      </c>
      <c r="C29" s="74" t="str">
        <f>'Marking Page'!C29</f>
        <v>LOUIS VELASCO MULJONO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</row>
    <row r="30" spans="1:14" x14ac:dyDescent="0.25">
      <c r="A30" s="72">
        <f>'Marking Page'!A30</f>
        <v>22</v>
      </c>
      <c r="B30" s="73" t="str">
        <f>'Marking Page'!B30</f>
        <v>832 / 0035874789</v>
      </c>
      <c r="C30" s="74" t="str">
        <f>'Marking Page'!C30</f>
        <v>NICOLE VENA CHANDRA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5">
      <c r="A31" s="72">
        <f>'Marking Page'!A31</f>
        <v>23</v>
      </c>
      <c r="B31" s="73" t="str">
        <f>'Marking Page'!B31</f>
        <v>851 / 0047994919</v>
      </c>
      <c r="C31" s="74" t="str">
        <f>'Marking Page'!C31</f>
        <v>WILSON EKAPUTRA TANUWIDJAJA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5">
      <c r="A32" s="72" t="str">
        <f>'Marking Page'!A32</f>
        <v xml:space="preserve"> </v>
      </c>
      <c r="B32" s="73" t="str">
        <f>'Marking Page'!B32</f>
        <v xml:space="preserve"> </v>
      </c>
      <c r="C32" s="74" t="str">
        <f>'Marking Page'!C32</f>
        <v xml:space="preserve"> 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</row>
    <row r="33" spans="1:14" x14ac:dyDescent="0.25">
      <c r="A33" s="72" t="str">
        <f>'Marking Page'!A33</f>
        <v xml:space="preserve"> </v>
      </c>
      <c r="B33" s="73" t="str">
        <f>'Marking Page'!B33</f>
        <v xml:space="preserve"> </v>
      </c>
      <c r="C33" s="74" t="str">
        <f>'Marking Page'!C33</f>
        <v xml:space="preserve"> 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5">
      <c r="A34" s="72" t="str">
        <f>'Marking Page'!A34</f>
        <v xml:space="preserve"> </v>
      </c>
      <c r="B34" s="73" t="str">
        <f>'Marking Page'!B34</f>
        <v xml:space="preserve"> </v>
      </c>
      <c r="C34" s="74" t="str">
        <f>'Marking Page'!C34</f>
        <v xml:space="preserve"> 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5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1:14" x14ac:dyDescent="0.25">
      <c r="D36" s="56"/>
      <c r="E36" s="56"/>
      <c r="F36" s="56"/>
      <c r="G36" s="56"/>
      <c r="H36" s="56"/>
      <c r="I36" s="56"/>
      <c r="J36" s="56"/>
      <c r="K36" s="56"/>
      <c r="L36" s="39" t="s">
        <v>21</v>
      </c>
      <c r="M36" s="169" t="str">
        <f>'Marking Page'!R41</f>
        <v>8 October 2018</v>
      </c>
      <c r="N36" s="169"/>
    </row>
    <row r="37" spans="1:14" x14ac:dyDescent="0.25">
      <c r="B37" s="39" t="s">
        <v>24</v>
      </c>
      <c r="D37" s="56"/>
      <c r="E37" s="56"/>
      <c r="F37" s="56"/>
      <c r="G37" s="56"/>
      <c r="H37" s="56"/>
      <c r="I37" s="56"/>
      <c r="J37" s="56"/>
      <c r="K37" s="56"/>
      <c r="L37" s="39" t="s">
        <v>177</v>
      </c>
    </row>
    <row r="38" spans="1:14" x14ac:dyDescent="0.25">
      <c r="D38" s="56"/>
      <c r="E38" s="56"/>
      <c r="F38" s="56"/>
      <c r="G38" s="56"/>
      <c r="H38" s="56"/>
      <c r="I38" s="56"/>
      <c r="J38" s="56"/>
      <c r="K38" s="56"/>
    </row>
    <row r="39" spans="1:14" x14ac:dyDescent="0.25">
      <c r="D39" s="56"/>
      <c r="E39" s="56"/>
      <c r="F39" s="56"/>
      <c r="G39" s="56"/>
      <c r="H39" s="56"/>
      <c r="I39" s="56"/>
      <c r="J39" s="56"/>
      <c r="K39" s="56"/>
    </row>
    <row r="40" spans="1:14" x14ac:dyDescent="0.25">
      <c r="D40" s="56"/>
      <c r="E40" s="56"/>
      <c r="F40" s="56"/>
      <c r="G40" s="56"/>
      <c r="H40" s="56"/>
      <c r="I40" s="56"/>
      <c r="J40" s="56"/>
      <c r="K40" s="56"/>
    </row>
    <row r="41" spans="1:14" x14ac:dyDescent="0.25">
      <c r="B41" s="45" t="s">
        <v>178</v>
      </c>
      <c r="D41" s="56"/>
      <c r="E41" s="56"/>
      <c r="F41" s="56"/>
      <c r="G41" s="56"/>
      <c r="H41" s="56"/>
      <c r="I41" s="56"/>
      <c r="J41" s="56"/>
      <c r="K41" s="56"/>
      <c r="L41" s="76" t="str">
        <f>'Marking Page'!Q46</f>
        <v>Josua Geis Somba, S.Si.</v>
      </c>
      <c r="M41" s="76"/>
      <c r="N41" s="76"/>
    </row>
    <row r="42" spans="1:14" x14ac:dyDescent="0.25"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x14ac:dyDescent="0.25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</row>
    <row r="44" spans="1:14" x14ac:dyDescent="0.25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</row>
    <row r="45" spans="1:14" x14ac:dyDescent="0.25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</row>
    <row r="46" spans="1:14" x14ac:dyDescent="0.25"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x14ac:dyDescent="0.25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</row>
    <row r="48" spans="1:14" x14ac:dyDescent="0.25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4:14" x14ac:dyDescent="0.25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4:14" x14ac:dyDescent="0.25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4:14" x14ac:dyDescent="0.25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</row>
    <row r="52" spans="4:14" x14ac:dyDescent="0.25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  <row r="53" spans="4:14" x14ac:dyDescent="0.25"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</row>
    <row r="54" spans="4:14" x14ac:dyDescent="0.25"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</row>
    <row r="55" spans="4:14" x14ac:dyDescent="0.25"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</row>
    <row r="56" spans="4:14" x14ac:dyDescent="0.25"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</row>
    <row r="57" spans="4:14" x14ac:dyDescent="0.25"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</row>
    <row r="58" spans="4:14" x14ac:dyDescent="0.25"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</row>
    <row r="59" spans="4:14" x14ac:dyDescent="0.25"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</row>
    <row r="60" spans="4:14" x14ac:dyDescent="0.25"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</row>
    <row r="61" spans="4:14" x14ac:dyDescent="0.25"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</row>
    <row r="62" spans="4:14" x14ac:dyDescent="0.25"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</row>
    <row r="63" spans="4:14" x14ac:dyDescent="0.25"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</row>
    <row r="64" spans="4:14" x14ac:dyDescent="0.25"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</row>
    <row r="65" spans="4:14" x14ac:dyDescent="0.25"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</row>
    <row r="66" spans="4:14" x14ac:dyDescent="0.25"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</row>
    <row r="67" spans="4:14" x14ac:dyDescent="0.25"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</row>
    <row r="68" spans="4:14" x14ac:dyDescent="0.25"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</row>
    <row r="69" spans="4:14" x14ac:dyDescent="0.25"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</row>
    <row r="70" spans="4:14" x14ac:dyDescent="0.25"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</row>
    <row r="71" spans="4:14" x14ac:dyDescent="0.25"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</row>
    <row r="72" spans="4:14" x14ac:dyDescent="0.25"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</row>
    <row r="73" spans="4:14" x14ac:dyDescent="0.25"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74" spans="4:14" x14ac:dyDescent="0.25"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</row>
    <row r="75" spans="4:14" x14ac:dyDescent="0.25"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</row>
    <row r="76" spans="4:14" x14ac:dyDescent="0.25"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</row>
    <row r="77" spans="4:14" x14ac:dyDescent="0.25"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</row>
    <row r="78" spans="4:14" x14ac:dyDescent="0.25"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</row>
    <row r="79" spans="4:14" x14ac:dyDescent="0.25"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</row>
    <row r="80" spans="4:14" x14ac:dyDescent="0.25"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</row>
    <row r="81" spans="4:14" x14ac:dyDescent="0.25"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</row>
    <row r="82" spans="4:14" x14ac:dyDescent="0.25"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</row>
    <row r="83" spans="4:14" x14ac:dyDescent="0.25"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4:14" x14ac:dyDescent="0.25"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</row>
    <row r="85" spans="4:14" x14ac:dyDescent="0.25"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</row>
    <row r="86" spans="4:14" x14ac:dyDescent="0.25"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</row>
    <row r="87" spans="4:14" x14ac:dyDescent="0.25"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</row>
    <row r="88" spans="4:14" x14ac:dyDescent="0.25"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</row>
    <row r="89" spans="4:14" x14ac:dyDescent="0.25"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</row>
    <row r="90" spans="4:14" x14ac:dyDescent="0.25"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</row>
    <row r="91" spans="4:14" x14ac:dyDescent="0.25"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4:14" x14ac:dyDescent="0.25"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4:14" x14ac:dyDescent="0.25"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</row>
    <row r="94" spans="4:14" x14ac:dyDescent="0.25"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</row>
    <row r="95" spans="4:14" x14ac:dyDescent="0.25"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</row>
    <row r="96" spans="4:14" x14ac:dyDescent="0.25"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</row>
    <row r="97" spans="4:14" x14ac:dyDescent="0.25"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</row>
    <row r="98" spans="4:14" x14ac:dyDescent="0.25"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</row>
    <row r="99" spans="4:14" x14ac:dyDescent="0.25"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</row>
    <row r="100" spans="4:14" x14ac:dyDescent="0.25"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</row>
    <row r="101" spans="4:14" x14ac:dyDescent="0.25"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</row>
    <row r="102" spans="4:14" x14ac:dyDescent="0.25"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</row>
    <row r="103" spans="4:14" x14ac:dyDescent="0.25"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</row>
    <row r="104" spans="4:14" x14ac:dyDescent="0.25"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</row>
    <row r="105" spans="4:14" x14ac:dyDescent="0.25"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</row>
    <row r="106" spans="4:14" x14ac:dyDescent="0.25"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</row>
    <row r="107" spans="4:14" x14ac:dyDescent="0.25"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</row>
  </sheetData>
  <sheetProtection algorithmName="SHA-512" hashValue="yRAQ/0vYTkU7m7l4zq7r7I/2pDhzKT8xWEjMUaE9LvK/vfwj/1czRBJJp4U/u0QMW+pukd5jHSDlDukOacbOpQ==" saltValue="ZywfFgGcwcQQJL1fCZ11cQ==" spinCount="100000" sheet="1" objects="1" scenarios="1"/>
  <mergeCells count="7">
    <mergeCell ref="D7:G7"/>
    <mergeCell ref="H7:K7"/>
    <mergeCell ref="L7:N7"/>
    <mergeCell ref="M36:N36"/>
    <mergeCell ref="A7:A8"/>
    <mergeCell ref="B7:B8"/>
    <mergeCell ref="C7:C8"/>
  </mergeCells>
  <printOptions horizontalCentered="1"/>
  <pageMargins left="0.7" right="0.7" top="0.75" bottom="0.75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100"/>
  <sheetViews>
    <sheetView showGridLines="0" topLeftCell="A31" zoomScaleNormal="100" zoomScaleSheetLayoutView="115" workbookViewId="0">
      <selection activeCell="B24" sqref="B24"/>
    </sheetView>
  </sheetViews>
  <sheetFormatPr defaultColWidth="9.140625" defaultRowHeight="15" x14ac:dyDescent="0.25"/>
  <cols>
    <col min="1" max="1" width="13.7109375" style="39" customWidth="1"/>
    <col min="2" max="3" width="9.140625" style="39"/>
    <col min="4" max="4" width="9.7109375" style="39" bestFit="1" customWidth="1"/>
    <col min="5" max="16384" width="9.140625" style="39"/>
  </cols>
  <sheetData>
    <row r="1" spans="1:11" ht="15.75" thickBot="1" x14ac:dyDescent="0.3">
      <c r="A1" s="39" t="s">
        <v>0</v>
      </c>
    </row>
    <row r="2" spans="1:11" ht="30.75" thickBot="1" x14ac:dyDescent="0.45">
      <c r="B2" s="40" t="s">
        <v>1</v>
      </c>
      <c r="K2" s="66">
        <v>1</v>
      </c>
    </row>
    <row r="5" spans="1:11" ht="31.5" x14ac:dyDescent="0.5">
      <c r="A5" s="41" t="s">
        <v>2</v>
      </c>
    </row>
    <row r="6" spans="1:11" ht="21" x14ac:dyDescent="0.35">
      <c r="A6" s="42" t="str">
        <f>Formula!A3</f>
        <v>Term 1</v>
      </c>
      <c r="B6" s="43" t="s">
        <v>194</v>
      </c>
      <c r="C6" s="44" t="str">
        <f>Formula!C3</f>
        <v>2018 / 2019</v>
      </c>
    </row>
    <row r="7" spans="1:11" s="46" customFormat="1" x14ac:dyDescent="0.25">
      <c r="A7" s="45"/>
    </row>
    <row r="8" spans="1:11" ht="6.95" customHeight="1" x14ac:dyDescent="0.25">
      <c r="A8" s="47"/>
      <c r="B8" s="47"/>
      <c r="C8" s="47"/>
      <c r="D8" s="47"/>
      <c r="E8" s="47"/>
      <c r="F8" s="47"/>
      <c r="G8" s="47"/>
      <c r="H8" s="47"/>
      <c r="I8" s="47"/>
    </row>
    <row r="9" spans="1:11" x14ac:dyDescent="0.25">
      <c r="A9" s="39" t="s">
        <v>3</v>
      </c>
      <c r="E9" s="39" t="s">
        <v>5</v>
      </c>
      <c r="H9" s="39" t="s">
        <v>7</v>
      </c>
    </row>
    <row r="10" spans="1:11" x14ac:dyDescent="0.25">
      <c r="A10" s="45" t="str">
        <f>VLOOKUP($K$2,formula1,3,1)</f>
        <v>ADELBERT REINHARD RIANG</v>
      </c>
      <c r="E10" s="48" t="str">
        <f>VLOOKUP($K$2,formula1,5,1)</f>
        <v>15 July 2004</v>
      </c>
      <c r="H10" s="49">
        <f>Formula!R3</f>
        <v>9.1</v>
      </c>
    </row>
    <row r="12" spans="1:11" x14ac:dyDescent="0.25">
      <c r="A12" s="39" t="s">
        <v>4</v>
      </c>
      <c r="E12" s="39" t="s">
        <v>6</v>
      </c>
    </row>
    <row r="13" spans="1:11" x14ac:dyDescent="0.25">
      <c r="A13" s="45" t="str">
        <f>VLOOKUP($K$2,formula1,2,1)</f>
        <v>757 / 0046197583</v>
      </c>
      <c r="E13" s="45" t="str">
        <f>VLOOKUP($K$2,formula1,4,1)</f>
        <v>Male</v>
      </c>
    </row>
    <row r="14" spans="1:11" ht="6.9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</row>
    <row r="15" spans="1:11" ht="6.95" customHeight="1" x14ac:dyDescent="0.25"/>
    <row r="16" spans="1:11" x14ac:dyDescent="0.25">
      <c r="A16" s="45" t="s">
        <v>8</v>
      </c>
      <c r="B16" s="45" t="s">
        <v>9</v>
      </c>
      <c r="C16" s="45"/>
      <c r="D16" s="45"/>
      <c r="F16" s="51" t="s">
        <v>10</v>
      </c>
      <c r="G16" s="175" t="s">
        <v>11</v>
      </c>
      <c r="H16" s="175"/>
      <c r="I16" s="175"/>
    </row>
    <row r="18" spans="1:9" s="53" customFormat="1" ht="20.100000000000001" customHeight="1" x14ac:dyDescent="0.25">
      <c r="A18" s="52" t="s">
        <v>12</v>
      </c>
      <c r="B18" s="53" t="s">
        <v>13</v>
      </c>
      <c r="F18" s="54" t="str">
        <f>IF(H18&gt;=90,"A*", IF(H18&gt;=80,"A",IF(H18&gt;=70,"B",IF(H18&gt;=60,"C",IF(H18&gt;=50,"D",IF(H18&gt;=40,"E","U"))))))</f>
        <v>U</v>
      </c>
      <c r="H18" s="54">
        <f>VLOOKUP($K$2,formula1,6,1)</f>
        <v>0</v>
      </c>
      <c r="I18" s="53" t="s">
        <v>189</v>
      </c>
    </row>
    <row r="19" spans="1:9" s="53" customFormat="1" ht="20.100000000000001" customHeight="1" x14ac:dyDescent="0.25">
      <c r="A19" s="52"/>
      <c r="B19" s="53" t="s">
        <v>597</v>
      </c>
      <c r="F19" s="54" t="str">
        <f t="shared" ref="F19:F29" si="0">IF(H19&gt;=90,"A*", IF(H19&gt;=80,"A",IF(H19&gt;=70,"B",IF(H19&gt;=60,"C",IF(H19&gt;=50,"D",IF(H19&gt;=40,"E","U"))))))</f>
        <v>U</v>
      </c>
      <c r="H19" s="54">
        <f>VLOOKUP($K$2,formula1,7,1)</f>
        <v>0</v>
      </c>
      <c r="I19" s="53" t="s">
        <v>189</v>
      </c>
    </row>
    <row r="20" spans="1:9" s="53" customFormat="1" ht="20.100000000000001" customHeight="1" x14ac:dyDescent="0.25">
      <c r="A20" s="52"/>
      <c r="B20" s="53" t="s">
        <v>14</v>
      </c>
      <c r="F20" s="54" t="str">
        <f t="shared" si="0"/>
        <v>U</v>
      </c>
      <c r="H20" s="54">
        <f>VLOOKUP($K$2,formula1,8,1)</f>
        <v>0</v>
      </c>
      <c r="I20" s="53" t="s">
        <v>189</v>
      </c>
    </row>
    <row r="21" spans="1:9" x14ac:dyDescent="0.25">
      <c r="A21" s="55"/>
      <c r="H21" s="56"/>
    </row>
    <row r="22" spans="1:9" s="53" customFormat="1" ht="20.100000000000001" customHeight="1" x14ac:dyDescent="0.25">
      <c r="A22" s="52" t="s">
        <v>15</v>
      </c>
      <c r="B22" s="53" t="s">
        <v>235</v>
      </c>
      <c r="F22" s="54" t="str">
        <f t="shared" si="0"/>
        <v>U</v>
      </c>
      <c r="H22" s="54">
        <f>VLOOKUP($K$2,formula1,9,1)</f>
        <v>0</v>
      </c>
      <c r="I22" s="53" t="s">
        <v>189</v>
      </c>
    </row>
    <row r="23" spans="1:9" s="53" customFormat="1" ht="20.100000000000001" customHeight="1" x14ac:dyDescent="0.25">
      <c r="A23" s="52"/>
      <c r="B23" s="53" t="s">
        <v>16</v>
      </c>
      <c r="F23" s="54" t="str">
        <f t="shared" si="0"/>
        <v>U</v>
      </c>
      <c r="H23" s="54">
        <f>VLOOKUP($K$2,formula1,10,1)</f>
        <v>0</v>
      </c>
      <c r="I23" s="53" t="s">
        <v>189</v>
      </c>
    </row>
    <row r="24" spans="1:9" s="53" customFormat="1" ht="20.100000000000001" customHeight="1" x14ac:dyDescent="0.25">
      <c r="A24" s="52"/>
      <c r="B24" s="53" t="s">
        <v>172</v>
      </c>
      <c r="F24" s="54" t="str">
        <f t="shared" ref="F24" si="1">IF(H24&gt;=90,"A*", IF(H24&gt;=80,"A",IF(H24&gt;=70,"B",IF(H24&gt;=60,"C",IF(H24&gt;=50,"D",IF(H24&gt;=40,"E","U"))))))</f>
        <v>U</v>
      </c>
      <c r="H24" s="54">
        <f>VLOOKUP($K$2,formula1,11,1)</f>
        <v>0</v>
      </c>
      <c r="I24" s="53" t="s">
        <v>189</v>
      </c>
    </row>
    <row r="25" spans="1:9" s="53" customFormat="1" ht="20.100000000000001" customHeight="1" x14ac:dyDescent="0.25">
      <c r="A25" s="52"/>
      <c r="B25" s="53" t="s">
        <v>17</v>
      </c>
      <c r="F25" s="54" t="str">
        <f t="shared" si="0"/>
        <v>U</v>
      </c>
      <c r="H25" s="54">
        <f>VLOOKUP($K$2,formula1,12,1)</f>
        <v>0</v>
      </c>
      <c r="I25" s="53" t="s">
        <v>189</v>
      </c>
    </row>
    <row r="26" spans="1:9" s="53" customFormat="1" ht="20.100000000000001" customHeight="1" x14ac:dyDescent="0.25">
      <c r="A26" s="52"/>
      <c r="B26" s="53" t="str">
        <f>HLOOKUP($H$10,subject2,2,1)</f>
        <v>Chemistry</v>
      </c>
      <c r="F26" s="54" t="str">
        <f t="shared" si="0"/>
        <v>U</v>
      </c>
      <c r="H26" s="54">
        <f>VLOOKUP($K$2,formula1,13,1)</f>
        <v>0</v>
      </c>
      <c r="I26" s="53" t="s">
        <v>189</v>
      </c>
    </row>
    <row r="27" spans="1:9" s="53" customFormat="1" ht="20.100000000000001" customHeight="1" x14ac:dyDescent="0.25">
      <c r="A27" s="52"/>
      <c r="B27" s="53" t="str">
        <f>HLOOKUP($H$10,subject2,3,1)</f>
        <v>Business Studies</v>
      </c>
      <c r="F27" s="54" t="str">
        <f t="shared" si="0"/>
        <v>U</v>
      </c>
      <c r="H27" s="54">
        <f>VLOOKUP($K$2,formula1,14,1)</f>
        <v>0</v>
      </c>
      <c r="I27" s="53" t="s">
        <v>189</v>
      </c>
    </row>
    <row r="28" spans="1:9" s="53" customFormat="1" ht="20.100000000000001" customHeight="1" x14ac:dyDescent="0.25">
      <c r="A28" s="52"/>
      <c r="B28" s="53" t="str">
        <f>VLOOKUP($K$2,formula1,20,1)</f>
        <v>Mandarin (Intermediate)</v>
      </c>
      <c r="F28" s="54" t="str">
        <f t="shared" si="0"/>
        <v>U</v>
      </c>
      <c r="H28" s="54">
        <f>VLOOKUP($K$2,formula1,15,1)</f>
        <v>0</v>
      </c>
      <c r="I28" s="53" t="s">
        <v>189</v>
      </c>
    </row>
    <row r="29" spans="1:9" s="53" customFormat="1" ht="20.100000000000001" customHeight="1" x14ac:dyDescent="0.25">
      <c r="A29" s="52"/>
      <c r="B29" s="176" t="str">
        <f>HLOOKUP($H$10,subject2,4,1)</f>
        <v>Information and Communications Technology</v>
      </c>
      <c r="C29" s="176"/>
      <c r="D29" s="176"/>
      <c r="E29" s="57"/>
      <c r="F29" s="54" t="str">
        <f t="shared" si="0"/>
        <v>U</v>
      </c>
      <c r="H29" s="54">
        <f>VLOOKUP($K$2,formula1,16,1)</f>
        <v>0</v>
      </c>
      <c r="I29" s="53" t="s">
        <v>189</v>
      </c>
    </row>
    <row r="30" spans="1:9" s="53" customFormat="1" ht="20.100000000000001" customHeight="1" x14ac:dyDescent="0.25">
      <c r="A30" s="52"/>
      <c r="B30" s="176"/>
      <c r="C30" s="176"/>
      <c r="D30" s="176"/>
      <c r="E30" s="57"/>
      <c r="H30" s="54"/>
    </row>
    <row r="31" spans="1:9" x14ac:dyDescent="0.25">
      <c r="A31" s="55"/>
      <c r="H31" s="56"/>
    </row>
    <row r="32" spans="1:9" s="53" customFormat="1" ht="20.100000000000001" customHeight="1" x14ac:dyDescent="0.25">
      <c r="A32" s="52" t="s">
        <v>19</v>
      </c>
      <c r="B32" s="53" t="s">
        <v>20</v>
      </c>
      <c r="F32" s="54" t="str">
        <f t="shared" ref="F32:F33" si="2">IF(H32&gt;=90,"A*", IF(H32&gt;=80,"A",IF(H32&gt;=70,"B",IF(H32&gt;=60,"C",IF(H32&gt;=50,"D",IF(H32&gt;=40,"E","U"))))))</f>
        <v>U</v>
      </c>
      <c r="H32" s="54">
        <f>VLOOKUP($K$2,formula1,17,1)</f>
        <v>0</v>
      </c>
      <c r="I32" s="53" t="s">
        <v>189</v>
      </c>
    </row>
    <row r="33" spans="1:9" s="53" customFormat="1" ht="20.100000000000001" customHeight="1" x14ac:dyDescent="0.25">
      <c r="B33" s="53" t="s">
        <v>598</v>
      </c>
      <c r="F33" s="54" t="str">
        <f t="shared" si="2"/>
        <v>U</v>
      </c>
      <c r="H33" s="54">
        <f>VLOOKUP($K$2,formula1,18,1)</f>
        <v>0</v>
      </c>
      <c r="I33" s="53" t="s">
        <v>189</v>
      </c>
    </row>
    <row r="34" spans="1:9" ht="6.95" customHeight="1" x14ac:dyDescent="0.25">
      <c r="A34" s="50"/>
      <c r="B34" s="50"/>
      <c r="C34" s="50"/>
      <c r="D34" s="50"/>
      <c r="E34" s="50"/>
      <c r="F34" s="50"/>
      <c r="G34" s="50"/>
      <c r="H34" s="50"/>
      <c r="I34" s="50"/>
    </row>
    <row r="37" spans="1:9" x14ac:dyDescent="0.25">
      <c r="G37" s="58" t="s">
        <v>21</v>
      </c>
      <c r="H37" s="63" t="str">
        <f>Cover!L16</f>
        <v>8 October 2018</v>
      </c>
    </row>
    <row r="38" spans="1:9" x14ac:dyDescent="0.25">
      <c r="A38" s="39" t="s">
        <v>23</v>
      </c>
      <c r="C38" s="39" t="s">
        <v>24</v>
      </c>
      <c r="G38" s="39" t="s">
        <v>22</v>
      </c>
    </row>
    <row r="42" spans="1:9" ht="15.75" thickBot="1" x14ac:dyDescent="0.3">
      <c r="A42" s="59"/>
      <c r="B42" s="45"/>
      <c r="C42" s="45" t="s">
        <v>25</v>
      </c>
      <c r="D42" s="45"/>
      <c r="E42" s="45"/>
      <c r="F42" s="45"/>
      <c r="G42" s="101" t="str">
        <f>'Marking Page'!Q46</f>
        <v>Josua Geis Somba, S.Si.</v>
      </c>
      <c r="H42" s="45"/>
      <c r="I42" s="45"/>
    </row>
    <row r="51" spans="1:9" ht="31.5" x14ac:dyDescent="0.5">
      <c r="A51" s="41" t="s">
        <v>596</v>
      </c>
    </row>
    <row r="52" spans="1:9" ht="21" x14ac:dyDescent="0.35">
      <c r="A52" s="42" t="str">
        <f>A6</f>
        <v>Term 1</v>
      </c>
      <c r="B52" s="43" t="s">
        <v>194</v>
      </c>
      <c r="C52" s="44" t="str">
        <f>C6</f>
        <v>2018 / 2019</v>
      </c>
    </row>
    <row r="53" spans="1:9" s="46" customFormat="1" x14ac:dyDescent="0.25">
      <c r="A53" s="45"/>
    </row>
    <row r="54" spans="1:9" ht="6.95" customHeight="1" x14ac:dyDescent="0.25">
      <c r="A54" s="47"/>
      <c r="B54" s="47"/>
      <c r="C54" s="47"/>
      <c r="D54" s="47"/>
      <c r="E54" s="47"/>
      <c r="F54" s="47"/>
      <c r="G54" s="47"/>
      <c r="H54" s="47"/>
      <c r="I54" s="47"/>
    </row>
    <row r="55" spans="1:9" x14ac:dyDescent="0.25">
      <c r="A55" s="39" t="s">
        <v>3</v>
      </c>
      <c r="E55" s="39" t="s">
        <v>5</v>
      </c>
      <c r="H55" s="39" t="s">
        <v>7</v>
      </c>
    </row>
    <row r="56" spans="1:9" x14ac:dyDescent="0.25">
      <c r="A56" s="45" t="str">
        <f>A10</f>
        <v>ADELBERT REINHARD RIANG</v>
      </c>
      <c r="E56" s="48" t="str">
        <f>E10</f>
        <v>15 July 2004</v>
      </c>
      <c r="H56" s="49">
        <f>H10</f>
        <v>9.1</v>
      </c>
    </row>
    <row r="58" spans="1:9" x14ac:dyDescent="0.25">
      <c r="A58" s="39" t="s">
        <v>4</v>
      </c>
      <c r="E58" s="39" t="s">
        <v>6</v>
      </c>
    </row>
    <row r="59" spans="1:9" x14ac:dyDescent="0.25">
      <c r="A59" s="45" t="str">
        <f>A13</f>
        <v>757 / 0046197583</v>
      </c>
      <c r="E59" s="45" t="str">
        <f>E13</f>
        <v>Male</v>
      </c>
    </row>
    <row r="60" spans="1:9" ht="6.95" customHeight="1" x14ac:dyDescent="0.25">
      <c r="A60" s="50"/>
      <c r="B60" s="50"/>
      <c r="C60" s="50"/>
      <c r="D60" s="50"/>
      <c r="E60" s="50"/>
      <c r="F60" s="50"/>
      <c r="G60" s="50"/>
      <c r="H60" s="50"/>
      <c r="I60" s="50"/>
    </row>
    <row r="61" spans="1:9" ht="6.95" customHeight="1" x14ac:dyDescent="0.25"/>
    <row r="62" spans="1:9" x14ac:dyDescent="0.25">
      <c r="A62" s="45" t="s">
        <v>595</v>
      </c>
      <c r="B62" s="45" t="s">
        <v>200</v>
      </c>
      <c r="C62" s="45"/>
      <c r="D62" s="45"/>
      <c r="E62" s="45"/>
      <c r="F62" s="45"/>
      <c r="G62" s="45"/>
      <c r="H62" s="51" t="s">
        <v>211</v>
      </c>
      <c r="I62" s="45"/>
    </row>
    <row r="63" spans="1:9" x14ac:dyDescent="0.25">
      <c r="H63" s="56"/>
    </row>
    <row r="64" spans="1:9" x14ac:dyDescent="0.25">
      <c r="A64" s="55" t="s">
        <v>220</v>
      </c>
      <c r="H64" s="56">
        <f>VLOOKUP($K$2,sikap,4,1)</f>
        <v>0</v>
      </c>
    </row>
    <row r="65" spans="1:8" x14ac:dyDescent="0.25">
      <c r="A65" s="60" t="s">
        <v>212</v>
      </c>
      <c r="B65" s="39" t="s">
        <v>201</v>
      </c>
      <c r="H65" s="56"/>
    </row>
    <row r="66" spans="1:8" x14ac:dyDescent="0.25">
      <c r="A66" s="60" t="s">
        <v>213</v>
      </c>
      <c r="B66" s="39" t="s">
        <v>202</v>
      </c>
      <c r="H66" s="56"/>
    </row>
    <row r="67" spans="1:8" x14ac:dyDescent="0.25">
      <c r="A67" s="60" t="s">
        <v>214</v>
      </c>
      <c r="B67" s="39" t="s">
        <v>203</v>
      </c>
      <c r="H67" s="56"/>
    </row>
    <row r="68" spans="1:8" x14ac:dyDescent="0.25">
      <c r="A68" s="60" t="s">
        <v>215</v>
      </c>
      <c r="B68" s="39" t="s">
        <v>204</v>
      </c>
      <c r="H68" s="56"/>
    </row>
    <row r="69" spans="1:8" x14ac:dyDescent="0.25">
      <c r="H69" s="56"/>
    </row>
    <row r="70" spans="1:8" x14ac:dyDescent="0.25">
      <c r="A70" s="55" t="s">
        <v>205</v>
      </c>
      <c r="H70" s="56">
        <f>VLOOKUP($K$2,sikap,5,1)</f>
        <v>0</v>
      </c>
    </row>
    <row r="71" spans="1:8" x14ac:dyDescent="0.25">
      <c r="A71" s="60" t="s">
        <v>212</v>
      </c>
      <c r="B71" s="39" t="s">
        <v>217</v>
      </c>
      <c r="H71" s="56"/>
    </row>
    <row r="72" spans="1:8" x14ac:dyDescent="0.25">
      <c r="A72" s="60" t="s">
        <v>213</v>
      </c>
      <c r="B72" s="39" t="s">
        <v>218</v>
      </c>
      <c r="H72" s="56"/>
    </row>
    <row r="73" spans="1:8" x14ac:dyDescent="0.25">
      <c r="H73" s="56"/>
    </row>
    <row r="74" spans="1:8" x14ac:dyDescent="0.25">
      <c r="A74" s="55" t="s">
        <v>206</v>
      </c>
      <c r="H74" s="56">
        <f>VLOOKUP($K$2,sikap,6,1)</f>
        <v>0</v>
      </c>
    </row>
    <row r="75" spans="1:8" x14ac:dyDescent="0.25">
      <c r="A75" s="60" t="s">
        <v>212</v>
      </c>
      <c r="B75" s="39" t="s">
        <v>237</v>
      </c>
      <c r="H75" s="56"/>
    </row>
    <row r="76" spans="1:8" x14ac:dyDescent="0.25">
      <c r="A76" s="60" t="s">
        <v>213</v>
      </c>
      <c r="B76" s="39" t="s">
        <v>594</v>
      </c>
      <c r="H76" s="56"/>
    </row>
    <row r="77" spans="1:8" x14ac:dyDescent="0.25">
      <c r="H77" s="56"/>
    </row>
    <row r="78" spans="1:8" x14ac:dyDescent="0.25">
      <c r="A78" s="55" t="s">
        <v>207</v>
      </c>
      <c r="H78" s="56">
        <f>VLOOKUP($K$2,sikap,7,1)</f>
        <v>0</v>
      </c>
    </row>
    <row r="79" spans="1:8" x14ac:dyDescent="0.25">
      <c r="A79" s="60" t="s">
        <v>212</v>
      </c>
      <c r="B79" s="39" t="s">
        <v>208</v>
      </c>
      <c r="H79" s="56"/>
    </row>
    <row r="80" spans="1:8" x14ac:dyDescent="0.25">
      <c r="A80" s="60"/>
      <c r="B80" s="39" t="s">
        <v>593</v>
      </c>
      <c r="H80" s="56"/>
    </row>
    <row r="81" spans="1:9" x14ac:dyDescent="0.25">
      <c r="A81" s="60" t="s">
        <v>213</v>
      </c>
      <c r="B81" s="39" t="s">
        <v>209</v>
      </c>
      <c r="H81" s="56"/>
    </row>
    <row r="82" spans="1:9" x14ac:dyDescent="0.25">
      <c r="A82" s="60"/>
      <c r="B82" s="39" t="s">
        <v>210</v>
      </c>
      <c r="H82" s="56"/>
    </row>
    <row r="83" spans="1:9" x14ac:dyDescent="0.25">
      <c r="A83" s="60" t="s">
        <v>216</v>
      </c>
      <c r="B83" s="39" t="s">
        <v>219</v>
      </c>
    </row>
    <row r="84" spans="1:9" ht="6.95" customHeight="1" x14ac:dyDescent="0.25">
      <c r="A84" s="50"/>
      <c r="B84" s="50"/>
      <c r="C84" s="50"/>
      <c r="D84" s="50"/>
      <c r="E84" s="50"/>
      <c r="F84" s="50"/>
      <c r="G84" s="50"/>
      <c r="H84" s="50"/>
      <c r="I84" s="50"/>
    </row>
    <row r="85" spans="1:9" ht="6.95" customHeight="1" x14ac:dyDescent="0.25"/>
    <row r="86" spans="1:9" x14ac:dyDescent="0.25">
      <c r="A86" s="45" t="s">
        <v>222</v>
      </c>
      <c r="B86" s="45"/>
      <c r="C86" s="46"/>
      <c r="D86" s="45"/>
      <c r="F86" s="45"/>
      <c r="G86" s="51" t="s">
        <v>223</v>
      </c>
      <c r="H86" s="61"/>
    </row>
    <row r="87" spans="1:9" x14ac:dyDescent="0.25">
      <c r="C87" s="62" t="str">
        <f>IF(VLOOKUP($K$2,sikap,8,1)=0," ",VLOOKUP($K$2,sikap,8,1))</f>
        <v xml:space="preserve"> </v>
      </c>
      <c r="H87" s="56" t="str">
        <f>IF(VLOOKUP($K$2,sikap,9,1)=0," ",VLOOKUP($K$2,sikap,9,1))</f>
        <v xml:space="preserve"> </v>
      </c>
    </row>
    <row r="88" spans="1:9" x14ac:dyDescent="0.25">
      <c r="C88" s="63" t="str">
        <f>IF(VLOOKUP($K$2,sikap,10,1)=0," ",VLOOKUP($K$2,sikap,10,1))</f>
        <v xml:space="preserve"> </v>
      </c>
      <c r="D88" s="64"/>
      <c r="E88" s="51"/>
      <c r="F88" s="55"/>
      <c r="H88" s="56" t="str">
        <f>IF(VLOOKUP($K$2,sikap,11,1)=0," ",VLOOKUP($K$2,sikap,11,1))</f>
        <v xml:space="preserve"> </v>
      </c>
    </row>
    <row r="89" spans="1:9" x14ac:dyDescent="0.25">
      <c r="D89" s="64"/>
      <c r="E89" s="51"/>
      <c r="F89" s="55"/>
    </row>
    <row r="90" spans="1:9" x14ac:dyDescent="0.25">
      <c r="A90" s="45" t="s">
        <v>225</v>
      </c>
      <c r="C90" s="65" t="s">
        <v>224</v>
      </c>
      <c r="D90" s="58" t="str">
        <f>IF(VLOOKUP($K$2,sikap,12,1)=0,"-",VLOOKUP($K$2,sikap,12,1))</f>
        <v>-</v>
      </c>
      <c r="E90" s="65" t="s">
        <v>226</v>
      </c>
      <c r="F90" s="61" t="str">
        <f>IF(VLOOKUP($K$2,sikap,13,1)=0,"-",VLOOKUP($K$2,sikap,13,1))</f>
        <v>-</v>
      </c>
      <c r="G90" s="174" t="s">
        <v>227</v>
      </c>
      <c r="H90" s="174"/>
      <c r="I90" s="58" t="str">
        <f>IF(VLOOKUP($K$2,sikap,14,1)=0,"-",VLOOKUP($K$2,sikap,14,1))</f>
        <v>-</v>
      </c>
    </row>
    <row r="91" spans="1:9" x14ac:dyDescent="0.25">
      <c r="D91" s="64"/>
      <c r="E91" s="51"/>
      <c r="F91" s="55"/>
    </row>
    <row r="92" spans="1:9" ht="6.95" customHeight="1" x14ac:dyDescent="0.25">
      <c r="A92" s="50"/>
      <c r="B92" s="50"/>
      <c r="C92" s="50"/>
      <c r="D92" s="50"/>
      <c r="E92" s="50"/>
      <c r="F92" s="50"/>
      <c r="G92" s="50"/>
      <c r="H92" s="50"/>
      <c r="I92" s="50"/>
    </row>
    <row r="93" spans="1:9" ht="6.95" customHeight="1" x14ac:dyDescent="0.25"/>
    <row r="95" spans="1:9" x14ac:dyDescent="0.25">
      <c r="G95" s="58" t="s">
        <v>21</v>
      </c>
      <c r="H95" s="63" t="str">
        <f>H37</f>
        <v>8 October 2018</v>
      </c>
    </row>
    <row r="96" spans="1:9" x14ac:dyDescent="0.25">
      <c r="A96" s="39" t="s">
        <v>23</v>
      </c>
      <c r="C96" s="39" t="s">
        <v>24</v>
      </c>
      <c r="G96" s="39" t="s">
        <v>22</v>
      </c>
    </row>
    <row r="100" spans="1:9" ht="15.75" thickBot="1" x14ac:dyDescent="0.3">
      <c r="A100" s="59"/>
      <c r="B100" s="45"/>
      <c r="C100" s="45" t="s">
        <v>25</v>
      </c>
      <c r="D100" s="45"/>
      <c r="E100" s="45"/>
      <c r="F100" s="45"/>
      <c r="G100" s="101" t="str">
        <f>G42</f>
        <v>Josua Geis Somba, S.Si.</v>
      </c>
      <c r="H100" s="45"/>
      <c r="I100" s="45"/>
    </row>
  </sheetData>
  <sheetProtection algorithmName="SHA-512" hashValue="4kF+KK6l/tznuuXorq2ppx26ujTs+n6/GciNMu2n3QOsPXZcA0dP43fo7G6NGV4ATndSSMZyrQ6MsD5iGm0PyA==" saltValue="P8jeSG8ftCC1/aDLwB044w==" spinCount="100000" sheet="1" objects="1" scenarios="1"/>
  <mergeCells count="3">
    <mergeCell ref="G90:H90"/>
    <mergeCell ref="G16:I16"/>
    <mergeCell ref="B29:D30"/>
  </mergeCells>
  <pageMargins left="0.75" right="0.45" top="0.45" bottom="0.45" header="0.3" footer="0.3"/>
  <pageSetup paperSize="5" fitToHeight="2" orientation="portrait" horizontalDpi="4294967293" r:id="rId1"/>
  <rowBreaks count="1" manualBreakCount="1">
    <brk id="4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11</vt:i4>
      </vt:variant>
    </vt:vector>
  </HeadingPairs>
  <TitlesOfParts>
    <vt:vector size="18" baseType="lpstr">
      <vt:lpstr>Cover</vt:lpstr>
      <vt:lpstr>Student Data</vt:lpstr>
      <vt:lpstr>Data</vt:lpstr>
      <vt:lpstr>Marking Page</vt:lpstr>
      <vt:lpstr>Formula</vt:lpstr>
      <vt:lpstr>Behavior Page</vt:lpstr>
      <vt:lpstr>Report Page</vt:lpstr>
      <vt:lpstr>birth</vt:lpstr>
      <vt:lpstr>formula1</vt:lpstr>
      <vt:lpstr>gender</vt:lpstr>
      <vt:lpstr>id</vt:lpstr>
      <vt:lpstr>mand</vt:lpstr>
      <vt:lpstr>name</vt:lpstr>
      <vt:lpstr>'Behavior Page'!Print_Area</vt:lpstr>
      <vt:lpstr>'Report Page'!Print_Area</vt:lpstr>
      <vt:lpstr>sikap</vt:lpstr>
      <vt:lpstr>subject1</vt:lpstr>
      <vt:lpstr>subject2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TMAK</dc:creator>
  <cp:lastModifiedBy>And1</cp:lastModifiedBy>
  <cp:lastPrinted>2017-10-03T03:50:04Z</cp:lastPrinted>
  <dcterms:created xsi:type="dcterms:W3CDTF">2017-09-07T09:15:19Z</dcterms:created>
  <dcterms:modified xsi:type="dcterms:W3CDTF">2018-10-03T02:36:15Z</dcterms:modified>
</cp:coreProperties>
</file>