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-15" windowWidth="19215" windowHeight="6180" tabRatio="1000"/>
  </bookViews>
  <sheets>
    <sheet name="Summary" sheetId="12" r:id="rId1"/>
    <sheet name="BOD Credit Details" sheetId="3" r:id="rId2"/>
    <sheet name="BODs Expenses" sheetId="4" r:id="rId3"/>
    <sheet name="expense logsheet" sheetId="2" r:id="rId4"/>
    <sheet name="Mont Albo" sheetId="10" r:id="rId5"/>
    <sheet name="Greenfield" sheetId="9" r:id="rId6"/>
    <sheet name="Kuya Tommy" sheetId="5" r:id="rId7"/>
    <sheet name="Carmie" sheetId="11" r:id="rId8"/>
    <sheet name="Carmie's Breakdown" sheetId="13" r:id="rId9"/>
    <sheet name="Kuya Maynard" sheetId="15" r:id="rId10"/>
    <sheet name="List of Employees_Allowance" sheetId="14" r:id="rId11"/>
  </sheets>
  <externalReferences>
    <externalReference r:id="rId12"/>
  </externalReferences>
  <definedNames>
    <definedName name="_xlnm._FilterDatabase" localSheetId="3" hidden="1">'expense logsheet'!$D$1:$D$83</definedName>
  </definedNames>
  <calcPr calcId="124519"/>
</workbook>
</file>

<file path=xl/calcChain.xml><?xml version="1.0" encoding="utf-8"?>
<calcChain xmlns="http://schemas.openxmlformats.org/spreadsheetml/2006/main">
  <c r="S12" i="12"/>
  <c r="M37"/>
  <c r="M30"/>
  <c r="M31"/>
  <c r="M32"/>
  <c r="M33"/>
  <c r="M34"/>
  <c r="M35"/>
  <c r="M29"/>
  <c r="L36"/>
  <c r="M5"/>
  <c r="L12" l="1"/>
  <c r="M6"/>
  <c r="M7"/>
  <c r="L22"/>
  <c r="M18"/>
  <c r="M19"/>
  <c r="M17"/>
  <c r="O12"/>
  <c r="P11"/>
  <c r="Q11" s="1"/>
  <c r="P8"/>
  <c r="Q8" s="1"/>
  <c r="P9"/>
  <c r="Q9" s="1"/>
  <c r="P10"/>
  <c r="Q10" s="1"/>
  <c r="P7"/>
  <c r="Q7" s="1"/>
  <c r="P6"/>
  <c r="Q6" s="1"/>
  <c r="P5"/>
  <c r="Q5" s="1"/>
  <c r="Q12" l="1"/>
  <c r="P12"/>
  <c r="K21"/>
  <c r="O20" l="1"/>
  <c r="K20"/>
  <c r="K22" s="1"/>
  <c r="P8" i="4" l="1"/>
  <c r="K33" i="12" s="1"/>
  <c r="F36" i="4"/>
  <c r="F37" s="1"/>
  <c r="F38" s="1"/>
  <c r="J21" i="12" l="1"/>
  <c r="K12"/>
  <c r="K36"/>
  <c r="E17" i="3"/>
  <c r="E23" s="1"/>
  <c r="E18"/>
  <c r="E19"/>
  <c r="E20"/>
  <c r="E21"/>
  <c r="E22"/>
  <c r="E16"/>
  <c r="F23"/>
  <c r="C23"/>
  <c r="D22"/>
  <c r="D21"/>
  <c r="D20"/>
  <c r="D19"/>
  <c r="D18"/>
  <c r="D17"/>
  <c r="D16"/>
  <c r="T6"/>
  <c r="D23" l="1"/>
  <c r="V7" i="4"/>
  <c r="V6"/>
  <c r="J8" i="12"/>
  <c r="M8" s="1"/>
  <c r="J32" l="1"/>
  <c r="H33" l="1"/>
  <c r="C81" i="2" l="1"/>
  <c r="B81"/>
  <c r="P6" i="4"/>
  <c r="J33" i="12" s="1"/>
  <c r="M6" i="11" l="1"/>
  <c r="G11" i="13"/>
  <c r="G10"/>
  <c r="G9"/>
  <c r="G8"/>
  <c r="G7"/>
  <c r="G6"/>
  <c r="C30"/>
  <c r="C24"/>
  <c r="P5" i="4" l="1"/>
  <c r="I33" i="12" s="1"/>
  <c r="S9" i="4"/>
  <c r="J20"/>
  <c r="J19"/>
  <c r="J31" i="12" l="1"/>
  <c r="J39" i="11"/>
  <c r="O6" s="1"/>
  <c r="N6"/>
  <c r="M5"/>
  <c r="N5"/>
  <c r="N4"/>
  <c r="M4"/>
  <c r="O4"/>
  <c r="M7" l="1"/>
  <c r="N7"/>
  <c r="P4"/>
  <c r="P6"/>
  <c r="B38" i="15" l="1"/>
  <c r="B40"/>
  <c r="B43" s="1"/>
  <c r="B45" s="1"/>
  <c r="B16"/>
  <c r="B11"/>
  <c r="B41" l="1"/>
  <c r="D12" i="5"/>
  <c r="J20" i="12" s="1"/>
  <c r="C39" i="13"/>
  <c r="O39"/>
  <c r="K39"/>
  <c r="G39"/>
  <c r="J22" i="12" l="1"/>
  <c r="I20"/>
  <c r="M20" s="1"/>
  <c r="M22" s="1"/>
  <c r="I21"/>
  <c r="M21" s="1"/>
  <c r="J11"/>
  <c r="M11" s="1"/>
  <c r="J10"/>
  <c r="M10" s="1"/>
  <c r="J9"/>
  <c r="M9" s="1"/>
  <c r="V5" i="4"/>
  <c r="V4"/>
  <c r="T10" i="3"/>
  <c r="T9"/>
  <c r="T8"/>
  <c r="T7"/>
  <c r="T5"/>
  <c r="T4"/>
  <c r="M12" i="12" l="1"/>
  <c r="M24" s="1"/>
  <c r="T11" i="3"/>
  <c r="J35" i="12"/>
  <c r="J36" s="1"/>
  <c r="J12"/>
  <c r="D22"/>
  <c r="E22"/>
  <c r="F22"/>
  <c r="G22"/>
  <c r="H22"/>
  <c r="C22"/>
  <c r="C42"/>
  <c r="S10" i="4"/>
  <c r="P20" i="12" l="1"/>
  <c r="C40" s="1"/>
  <c r="I22"/>
  <c r="M23" s="1"/>
  <c r="BN5" i="14" l="1"/>
  <c r="V3" i="4" l="1"/>
  <c r="I35" i="12" s="1"/>
  <c r="R11" s="1"/>
  <c r="S11" s="1"/>
  <c r="J16" i="4" l="1"/>
  <c r="J15"/>
  <c r="J14"/>
  <c r="J13"/>
  <c r="J12"/>
  <c r="J5"/>
  <c r="C31" i="12" s="1"/>
  <c r="P3" i="4"/>
  <c r="D33" i="12" s="1"/>
  <c r="F34"/>
  <c r="E34"/>
  <c r="D34"/>
  <c r="D32"/>
  <c r="I34"/>
  <c r="H31"/>
  <c r="F31"/>
  <c r="E31"/>
  <c r="D31"/>
  <c r="G29"/>
  <c r="D29"/>
  <c r="G3" i="4"/>
  <c r="G30" i="12" s="1"/>
  <c r="R6" s="1"/>
  <c r="S6" s="1"/>
  <c r="G31" l="1"/>
  <c r="T31" i="4"/>
  <c r="N31"/>
  <c r="I36" i="12"/>
  <c r="C36"/>
  <c r="H36" l="1"/>
  <c r="G36"/>
  <c r="F36"/>
  <c r="E36"/>
  <c r="D36"/>
  <c r="R10"/>
  <c r="S10" s="1"/>
  <c r="R9"/>
  <c r="S9" s="1"/>
  <c r="R8"/>
  <c r="S8" s="1"/>
  <c r="R5"/>
  <c r="S5" s="1"/>
  <c r="P17"/>
  <c r="C39" s="1"/>
  <c r="C44" s="1"/>
  <c r="D12"/>
  <c r="E12"/>
  <c r="F12"/>
  <c r="G12"/>
  <c r="H12"/>
  <c r="I12"/>
  <c r="C12"/>
  <c r="M13" l="1"/>
  <c r="F72" i="11"/>
  <c r="C40" i="13" s="1"/>
  <c r="C41" s="1"/>
  <c r="C72" i="11"/>
  <c r="J19"/>
  <c r="J73" l="1"/>
  <c r="O5"/>
  <c r="M36" i="12"/>
  <c r="R7"/>
  <c r="S7" s="1"/>
  <c r="C73" i="11"/>
  <c r="D27" i="10"/>
  <c r="D27" i="9"/>
  <c r="D28" i="5"/>
  <c r="C82" i="2"/>
  <c r="R12" i="12" l="1"/>
  <c r="D44"/>
  <c r="P5" i="11"/>
  <c r="O7"/>
  <c r="P7" s="1"/>
  <c r="J74"/>
  <c r="R11" i="3"/>
  <c r="B31" i="4" l="1"/>
  <c r="E31"/>
  <c r="K31"/>
  <c r="Q31"/>
  <c r="H31"/>
  <c r="B33" l="1"/>
  <c r="P11" i="3"/>
  <c r="N11"/>
  <c r="L11"/>
  <c r="J11"/>
  <c r="H11"/>
  <c r="F11"/>
  <c r="C11"/>
  <c r="E10"/>
  <c r="U10" s="1"/>
  <c r="D10"/>
  <c r="E9"/>
  <c r="U9" s="1"/>
  <c r="D9"/>
  <c r="E8"/>
  <c r="U8" s="1"/>
  <c r="D8"/>
  <c r="E7"/>
  <c r="U7" s="1"/>
  <c r="D7"/>
  <c r="E6"/>
  <c r="D6"/>
  <c r="E5"/>
  <c r="U5" s="1"/>
  <c r="D5"/>
  <c r="E4"/>
  <c r="U4" s="1"/>
  <c r="D4"/>
  <c r="D11" l="1"/>
  <c r="E11"/>
  <c r="U6"/>
  <c r="U11" l="1"/>
  <c r="E44" i="12"/>
</calcChain>
</file>

<file path=xl/comments1.xml><?xml version="1.0" encoding="utf-8"?>
<comments xmlns="http://schemas.openxmlformats.org/spreadsheetml/2006/main">
  <authors>
    <author>user</author>
  </authors>
  <commentList>
    <comment ref="O20" authorId="0">
      <text>
        <r>
          <rPr>
            <b/>
            <sz val="9"/>
            <color indexed="81"/>
            <rFont val="Tahoma"/>
            <family val="2"/>
          </rPr>
          <t>user:
includes Aircon =150200
Construction Cost=1,380,815 (includes As built-8K+15K CCTV</t>
        </r>
      </text>
    </comment>
    <comment ref="C39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703K based on corrected disbursement report</t>
        </r>
      </text>
    </comment>
  </commentList>
</comments>
</file>

<file path=xl/comments2.xml><?xml version="1.0" encoding="utf-8"?>
<comments xmlns="http://schemas.openxmlformats.org/spreadsheetml/2006/main">
  <authors>
    <author>Millete Mendoza San Juan</author>
  </authors>
  <commentList>
    <comment ref="D24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  <comment ref="D25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</commentList>
</comments>
</file>

<file path=xl/comments3.xml><?xml version="1.0" encoding="utf-8"?>
<comments xmlns="http://schemas.openxmlformats.org/spreadsheetml/2006/main">
  <authors>
    <author>Millete Mendoza San Juan</author>
  </authors>
  <commentList>
    <comment ref="C3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  <comment ref="C4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Doc Nol - acknowldge the recepit of payment via FB msg. Still awaiting official receipt</t>
        </r>
      </text>
    </comment>
  </commentList>
</comments>
</file>

<file path=xl/comments4.xml><?xml version="1.0" encoding="utf-8"?>
<comments xmlns="http://schemas.openxmlformats.org/spreadsheetml/2006/main">
  <authors>
    <author>Millete Mendoza San Juan</author>
  </authors>
  <commentList>
    <comment ref="B5" authorId="0">
      <text>
        <r>
          <rPr>
            <b/>
            <sz val="9"/>
            <color indexed="81"/>
            <rFont val="Tahoma"/>
            <family val="2"/>
          </rPr>
          <t>Millete Mendoza San Juan:</t>
        </r>
        <r>
          <rPr>
            <sz val="9"/>
            <color indexed="81"/>
            <rFont val="Tahoma"/>
            <family val="2"/>
          </rPr>
          <t xml:space="preserve">
actual transfer Aug 24,2015</t>
        </r>
      </text>
    </comment>
  </commentList>
</comments>
</file>

<file path=xl/sharedStrings.xml><?xml version="1.0" encoding="utf-8"?>
<sst xmlns="http://schemas.openxmlformats.org/spreadsheetml/2006/main" count="582" uniqueCount="327">
  <si>
    <t>Date</t>
  </si>
  <si>
    <t>Debit</t>
  </si>
  <si>
    <t>Credit</t>
  </si>
  <si>
    <t>Remarks</t>
  </si>
  <si>
    <t>Mashe</t>
  </si>
  <si>
    <t>Millete</t>
  </si>
  <si>
    <t>Heidz</t>
  </si>
  <si>
    <t>Sockie</t>
  </si>
  <si>
    <t>Ate Meng</t>
  </si>
  <si>
    <t>Grace</t>
  </si>
  <si>
    <t>TOTAL</t>
  </si>
  <si>
    <t>Balance</t>
  </si>
  <si>
    <t>Rachel's Meeting with Mont Albo</t>
  </si>
  <si>
    <t>MA Franchising</t>
  </si>
  <si>
    <t>MA Training</t>
  </si>
  <si>
    <t>Carmie's Meeting with Mont Albo</t>
  </si>
  <si>
    <t>Sherryll</t>
  </si>
  <si>
    <t>Ate Meng - Direct Remittance to MA</t>
  </si>
  <si>
    <t>Grace - Direct Remittance to MA</t>
  </si>
  <si>
    <t>Sherryll - Direct Remittance to MA</t>
  </si>
  <si>
    <t>Sockie - Direct Remittance to MA</t>
  </si>
  <si>
    <t>Millete - Direct Remittance to MA</t>
  </si>
  <si>
    <t>Heidz - Direct Remittance to MA</t>
  </si>
  <si>
    <t>Dre@mers</t>
  </si>
  <si>
    <t>% Share</t>
  </si>
  <si>
    <t>3M</t>
  </si>
  <si>
    <t>3.5M</t>
  </si>
  <si>
    <t>1st</t>
  </si>
  <si>
    <t>2nd</t>
  </si>
  <si>
    <t>3rd</t>
  </si>
  <si>
    <t>4th</t>
  </si>
  <si>
    <t>5th</t>
  </si>
  <si>
    <t>6th</t>
  </si>
  <si>
    <t>Total</t>
  </si>
  <si>
    <t>Kuya Tommy</t>
  </si>
  <si>
    <t>SN</t>
  </si>
  <si>
    <t>Amount</t>
  </si>
  <si>
    <t>Expense</t>
  </si>
  <si>
    <t>Taxi going Green Field</t>
  </si>
  <si>
    <t>Canvassing by Carmie and Kuya Tomy</t>
  </si>
  <si>
    <t>Green Lane Form and processing</t>
  </si>
  <si>
    <t>SEC Processing Fee (Atty)</t>
  </si>
  <si>
    <t>SEC Docs LBC to Kuya Maynard</t>
  </si>
  <si>
    <t>Subtotal</t>
  </si>
  <si>
    <t>7th</t>
  </si>
  <si>
    <t>Mashe - direct to GF</t>
  </si>
  <si>
    <t>Sherryll - direct to GF</t>
  </si>
  <si>
    <t>GF</t>
  </si>
  <si>
    <t>Carmie - Training Allowance</t>
  </si>
  <si>
    <t>Greenfield</t>
  </si>
  <si>
    <t>Mont Albo</t>
  </si>
  <si>
    <t>Carmie</t>
  </si>
  <si>
    <t xml:space="preserve">OCULAR (BOARDINGHOUSE) AND CANVASS CLEANING MATERIALS </t>
  </si>
  <si>
    <t>Interview</t>
  </si>
  <si>
    <t>July 27-31</t>
  </si>
  <si>
    <t>Interview &amp; Contract Signing</t>
  </si>
  <si>
    <t>Carmie's Fund</t>
  </si>
  <si>
    <t>7Elements</t>
  </si>
  <si>
    <t>MA</t>
  </si>
  <si>
    <t>Load</t>
  </si>
  <si>
    <t>Canvass Apartment</t>
  </si>
  <si>
    <t>Interview/Trainees Allowance-Aug 17-18/Tshirt</t>
  </si>
  <si>
    <t>Allowance (Aug 24-29)</t>
  </si>
  <si>
    <t>Allowance-Aug 27-29/Load/Tshirt</t>
  </si>
  <si>
    <t>Allowance-Sep 1-5/Load</t>
  </si>
  <si>
    <t>Allowance-Sep 4</t>
  </si>
  <si>
    <t>Allowance-Sep 7-8, 12/Load</t>
  </si>
  <si>
    <t>Allowance-Sep 9-12/Load/Fare</t>
  </si>
  <si>
    <t>Allowance-Sep11/Load</t>
  </si>
  <si>
    <t>Allowance-Sep14-19/Load</t>
  </si>
  <si>
    <t>Nameplate/Allowance-Sep17-19</t>
  </si>
  <si>
    <t>Canvass Venue</t>
  </si>
  <si>
    <t>Aug 17-18</t>
  </si>
  <si>
    <t>From</t>
  </si>
  <si>
    <t>Purpose</t>
  </si>
  <si>
    <t>Venue Downpayment</t>
  </si>
  <si>
    <t>Cash on hand (CARMIE)</t>
  </si>
  <si>
    <t>Remark</t>
  </si>
  <si>
    <t>Bond</t>
  </si>
  <si>
    <t>CASH IN</t>
  </si>
  <si>
    <t>CASH OUT</t>
  </si>
  <si>
    <t>MA-Traning</t>
  </si>
  <si>
    <t>GreenField</t>
  </si>
  <si>
    <t>BODs</t>
  </si>
  <si>
    <t>Construction Drawing</t>
  </si>
  <si>
    <t>Payment 1</t>
  </si>
  <si>
    <t>Payment 2</t>
  </si>
  <si>
    <t>Total Cash IN</t>
  </si>
  <si>
    <t>Expenses</t>
  </si>
  <si>
    <t>Total Cash Out</t>
  </si>
  <si>
    <t>CASH BALANCE</t>
  </si>
  <si>
    <t>Other CASH OUT (No Paid Yet)</t>
  </si>
  <si>
    <t>7Element Cash Flow Report</t>
  </si>
  <si>
    <t>Allowance/load</t>
  </si>
  <si>
    <t>Total Other Cash Out</t>
  </si>
  <si>
    <t>Other Expenses</t>
  </si>
  <si>
    <t>CCTV</t>
  </si>
  <si>
    <t>Aircon</t>
  </si>
  <si>
    <t>Sauna</t>
  </si>
  <si>
    <t>MA Balance</t>
  </si>
  <si>
    <t>Kuya Tommy Balance</t>
  </si>
  <si>
    <t>Estimated Cost</t>
  </si>
  <si>
    <t>Ads Fee</t>
  </si>
  <si>
    <t>MA - Franchising /Materials</t>
  </si>
  <si>
    <t>Heidie</t>
  </si>
  <si>
    <t>Notary of SEC docs (230sgd)</t>
  </si>
  <si>
    <t>Consul Stamp of SEC docs(119sgd)</t>
  </si>
  <si>
    <t>Taxi going to PE (19.10sgd)</t>
  </si>
  <si>
    <t>Speedpost (40sgd)</t>
  </si>
  <si>
    <t>LBC of SEC docs(19sgd)</t>
  </si>
  <si>
    <t>Jollibee(8.45sgd)</t>
  </si>
  <si>
    <t>Mar16-Aug 6</t>
  </si>
  <si>
    <t>Phone Bills (91.15sgd)</t>
  </si>
  <si>
    <t>LBC of SEC to Atty</t>
  </si>
  <si>
    <t>LBC</t>
  </si>
  <si>
    <t>Rachel's Interview</t>
  </si>
  <si>
    <t>Allowance</t>
  </si>
  <si>
    <t>LBC (SEC Docs, 62sgd)</t>
  </si>
  <si>
    <t>Permit Application</t>
  </si>
  <si>
    <t>Payment 3</t>
  </si>
  <si>
    <t>BLUE ITEMS</t>
  </si>
  <si>
    <t>OPENING</t>
  </si>
  <si>
    <t>HDD - 2TB (109sgd)</t>
  </si>
  <si>
    <t>Fare/lunch with Kuya Tommy</t>
  </si>
  <si>
    <t>Fare/Allowance/Blue items</t>
  </si>
  <si>
    <t>Allowance/Load</t>
  </si>
  <si>
    <t>Allowance/Down Payment for Catering</t>
  </si>
  <si>
    <t>Catering Down Payment</t>
  </si>
  <si>
    <t>Blue Items 1</t>
  </si>
  <si>
    <t>7Elements Employee List</t>
  </si>
  <si>
    <t>Employee #</t>
  </si>
  <si>
    <t>NAME</t>
  </si>
  <si>
    <t>Date Hired</t>
  </si>
  <si>
    <t>Position</t>
  </si>
  <si>
    <t>August</t>
  </si>
  <si>
    <t>September</t>
  </si>
  <si>
    <t>001</t>
  </si>
  <si>
    <t>ANA CARMELA LOZADA</t>
  </si>
  <si>
    <t>Spa Manager</t>
  </si>
  <si>
    <t>002</t>
  </si>
  <si>
    <t>SHERYLL ATIENZA BATO</t>
  </si>
  <si>
    <t>Receptionist</t>
  </si>
  <si>
    <t>003</t>
  </si>
  <si>
    <t>MYKA MALABANAN</t>
  </si>
  <si>
    <t>Therapist</t>
  </si>
  <si>
    <t>004</t>
  </si>
  <si>
    <t>MYLYN OBAS</t>
  </si>
  <si>
    <t>005</t>
  </si>
  <si>
    <t>ADRIAN JOSEPH GRIEGO</t>
  </si>
  <si>
    <t>006</t>
  </si>
  <si>
    <t>JENNIFER SARMIENTO</t>
  </si>
  <si>
    <t>007</t>
  </si>
  <si>
    <t>HANNAH MANCE</t>
  </si>
  <si>
    <t>008</t>
  </si>
  <si>
    <t>KARMINA LISSA AGUELO</t>
  </si>
  <si>
    <t>009</t>
  </si>
  <si>
    <t>CARLA MAIGUE</t>
  </si>
  <si>
    <t>010</t>
  </si>
  <si>
    <t>JOANA MARIA MATRE</t>
  </si>
  <si>
    <t>011</t>
  </si>
  <si>
    <t>JEREMY ASIA</t>
  </si>
  <si>
    <t>012</t>
  </si>
  <si>
    <t>JENNELYN GARCE</t>
  </si>
  <si>
    <t>Payment 4</t>
  </si>
  <si>
    <t>Fare/Blue items</t>
  </si>
  <si>
    <t>Payment 5</t>
  </si>
  <si>
    <t>Chocolates (114sgd)</t>
  </si>
  <si>
    <t>Employee T-shirt (353sgd)</t>
  </si>
  <si>
    <t>Blue Items 2</t>
  </si>
  <si>
    <t>Payment 6</t>
  </si>
  <si>
    <t>Payment 7</t>
  </si>
  <si>
    <t>Wine (26sgd)</t>
  </si>
  <si>
    <t>Baggage (29sgd)</t>
  </si>
  <si>
    <t>Payment 8</t>
  </si>
  <si>
    <t>Allowance/Tshirt/Load</t>
  </si>
  <si>
    <t>Down  Payment Flowers/Allowance/Lunch</t>
  </si>
  <si>
    <t>Allowance /Load/Blue Items</t>
  </si>
  <si>
    <t>Load/Catering/Venue/Flowers</t>
  </si>
  <si>
    <t>Business Permit</t>
  </si>
  <si>
    <t>Allowance/Load/Business Permit/CGL/Padulas/Cedula</t>
  </si>
  <si>
    <t>Flowers Down Payment</t>
  </si>
  <si>
    <t>Jeep</t>
  </si>
  <si>
    <t>Catering Balance</t>
  </si>
  <si>
    <t>Venue Balance</t>
  </si>
  <si>
    <t>Flower Balance</t>
  </si>
  <si>
    <t>Venue Down Payment</t>
  </si>
  <si>
    <t>PERMITS</t>
  </si>
  <si>
    <t>CGL Insurance</t>
  </si>
  <si>
    <t>Cedula for Business Permit</t>
  </si>
  <si>
    <t>Kuya Tommy-Aircon</t>
  </si>
  <si>
    <t>NOTE:</t>
  </si>
  <si>
    <t>Expenses for Blessing - included in Carmie</t>
  </si>
  <si>
    <t>Aircon- Included in Kuya Tommy</t>
  </si>
  <si>
    <t>PERMITS/OTHERS</t>
  </si>
  <si>
    <t>Brgy. clearance 8/6/15</t>
  </si>
  <si>
    <t>Notary Zoning 9/7/15</t>
  </si>
  <si>
    <t>Blue Print 9/7/15</t>
  </si>
  <si>
    <t>Brgy. clearance 9/7/15</t>
  </si>
  <si>
    <t>Office of Zoning Administrator 9/7/15</t>
  </si>
  <si>
    <t>City treasury Office 9/7/15</t>
  </si>
  <si>
    <t>Buereu of fire Fee</t>
  </si>
  <si>
    <t>City treasurers office</t>
  </si>
  <si>
    <t>Miscellaneous</t>
  </si>
  <si>
    <t>Phoyo copy 8/13/15</t>
  </si>
  <si>
    <t>LBC 8/14/15</t>
  </si>
  <si>
    <t>Gas 7/28/15</t>
  </si>
  <si>
    <t>Parking fee 7/28/15</t>
  </si>
  <si>
    <t>Tolgate 7/28/15</t>
  </si>
  <si>
    <t>Gas 8/6/15</t>
  </si>
  <si>
    <t>Togate 8/13/15</t>
  </si>
  <si>
    <t>Toll gate 8/13/15</t>
  </si>
  <si>
    <t>Food 8/13/15</t>
  </si>
  <si>
    <t>Parking fee 8/18/15</t>
  </si>
  <si>
    <t>Gas 8/18/15</t>
  </si>
  <si>
    <t>Tolgate 8/18/15</t>
  </si>
  <si>
    <t>Gas 09/07/15</t>
  </si>
  <si>
    <t>Gas 09/20/15</t>
  </si>
  <si>
    <t>Tollgate 9/7/15</t>
  </si>
  <si>
    <t>Gas 9/29/15</t>
  </si>
  <si>
    <t>Parking fee 9/29/15</t>
  </si>
  <si>
    <t>Tolgate 9/29/15</t>
  </si>
  <si>
    <t>Tol gate 9/29/15</t>
  </si>
  <si>
    <t>Allowance Aug 17-22</t>
  </si>
  <si>
    <t>Allowance Aug 25-29</t>
  </si>
  <si>
    <t>Allowance Aug 27-29</t>
  </si>
  <si>
    <t>Allowance Sep 1-5</t>
  </si>
  <si>
    <t>Allowance Sep 4</t>
  </si>
  <si>
    <t>Allowance Sep 7-8</t>
  </si>
  <si>
    <t>Allowance Sep 9-12</t>
  </si>
  <si>
    <t>Allowance Sep 11</t>
  </si>
  <si>
    <t>Allowance Sep 14-16</t>
  </si>
  <si>
    <t>Allowance Sep 17-19</t>
  </si>
  <si>
    <t>Allowance Sep 17-18</t>
  </si>
  <si>
    <t>Allowance Sep 21-26</t>
  </si>
  <si>
    <t>Allowance Sep 22</t>
  </si>
  <si>
    <t>Allowance Sep 23</t>
  </si>
  <si>
    <t>Allowance Sep 28-Oct 3</t>
  </si>
  <si>
    <t>Allowance Sep 30</t>
  </si>
  <si>
    <t>Allowance Oct 1</t>
  </si>
  <si>
    <t>Allowance Oct 5-10</t>
  </si>
  <si>
    <t>From MA</t>
  </si>
  <si>
    <t>From 7 Elements</t>
  </si>
  <si>
    <t>Signages (MA)</t>
  </si>
  <si>
    <t>Signages (Panaflex)</t>
  </si>
  <si>
    <t>Allowance/Nameplate</t>
  </si>
  <si>
    <t>Fare/Drink</t>
  </si>
  <si>
    <t>Health Card/Allowance/Blue Items</t>
  </si>
  <si>
    <t xml:space="preserve">Credit </t>
  </si>
  <si>
    <t>Month</t>
  </si>
  <si>
    <t>Phone Bills (Sep-Oct, 23.4064sgd)</t>
  </si>
  <si>
    <t>Priest stipend</t>
  </si>
  <si>
    <t>Polo shirt (54.6sgd)</t>
  </si>
  <si>
    <t>Allowance Kuya Maynard</t>
  </si>
  <si>
    <t>Payment 9</t>
  </si>
  <si>
    <t>Updated Sockie's expences, Rae's allowance</t>
  </si>
  <si>
    <t>Fire extinguisher 9/9/15</t>
  </si>
  <si>
    <t>Allowance/Chair Cushion/Mirror</t>
  </si>
  <si>
    <t>Allowance/Permit Fare</t>
  </si>
  <si>
    <t>Fare/15BoookletsProvisional Receipt</t>
  </si>
  <si>
    <t>Allowance Oct 6</t>
  </si>
  <si>
    <t>Health Card (x6)</t>
  </si>
  <si>
    <t>Allowance Oct 8</t>
  </si>
  <si>
    <t>Allowance Carmie (Aug-Sep)</t>
  </si>
  <si>
    <t>Allowance Oct 10</t>
  </si>
  <si>
    <t>Allowance Oct 12-17</t>
  </si>
  <si>
    <t>Medical (x3)</t>
  </si>
  <si>
    <t>MayorsPermit (x12)</t>
  </si>
  <si>
    <t>PENALTY FOR LATE REGISTRATION</t>
  </si>
  <si>
    <t>PENALTIES</t>
  </si>
  <si>
    <t>LEASE CONTRACT</t>
  </si>
  <si>
    <t>ORIGINAL ISSUANCE OF SHARES OF STOCKS</t>
  </si>
  <si>
    <t xml:space="preserve">PHOTOCOPY OF ALL DOCUMENTS (2 COPIES EACH) </t>
  </si>
  <si>
    <t>STAMP FOR BIR PERMIT</t>
  </si>
  <si>
    <t>Padulas Business/Sanitary</t>
  </si>
  <si>
    <t>Nameplate</t>
  </si>
  <si>
    <t>Peety Cash Voucher</t>
  </si>
  <si>
    <t>Cash Voucher/Hanger</t>
  </si>
  <si>
    <t>Thermos/Electric Kettel/cups</t>
  </si>
  <si>
    <t>Containers/Ballpen/Tissue/Panline</t>
  </si>
  <si>
    <t>BODS Tshirt</t>
  </si>
  <si>
    <t>Spoon/towel vessel/cleaning mat</t>
  </si>
  <si>
    <t>Trash Can/Foor Basin/scrub</t>
  </si>
  <si>
    <t>Chair Cushion/Mirror</t>
  </si>
  <si>
    <t>Columnar</t>
  </si>
  <si>
    <t>15 Booklet Provisional Receipts</t>
  </si>
  <si>
    <t>Updated Cosntruction Cost = 1,380,815</t>
  </si>
  <si>
    <t>BIR/Permits Included in carmie</t>
  </si>
  <si>
    <t>Payables</t>
  </si>
  <si>
    <t>Sauna- 46K included in MA</t>
  </si>
  <si>
    <t>Manpower</t>
  </si>
  <si>
    <t>Delivery Charge Bed/Fare/SIM Activation</t>
  </si>
  <si>
    <t>Fare/Lunch/Load</t>
  </si>
  <si>
    <t>Allowance/Load/fare</t>
  </si>
  <si>
    <t>Allowance/Flowers/Laundry/Blue Items</t>
  </si>
  <si>
    <t>Acrylic Signages</t>
  </si>
  <si>
    <t>Gas/Toll</t>
  </si>
  <si>
    <t>WIFI/SIM Keyboard/Lunch/fare</t>
  </si>
  <si>
    <t>Returned by Kuya Maynard</t>
  </si>
  <si>
    <t>Payment 10</t>
  </si>
  <si>
    <t>Stock Glass divider/breakfast/fare</t>
  </si>
  <si>
    <t>Fare</t>
  </si>
  <si>
    <t>Fare/Load/First aid kit/Allowance</t>
  </si>
  <si>
    <t>Fare/Allowance</t>
  </si>
  <si>
    <t>Payment 11</t>
  </si>
  <si>
    <t>Phone Call - Kuya Tommy (33.33sgd)</t>
  </si>
  <si>
    <t>Phone Call- Kuya Tommy (6.60sgd)</t>
  </si>
  <si>
    <t>Shares Summary (Oct 31, 2015)</t>
  </si>
  <si>
    <t>200K</t>
  </si>
  <si>
    <t>TOP-UP</t>
  </si>
  <si>
    <t xml:space="preserve">Updated Grace Expenses based on the receipts . Added Kuya Maynard's allowance , Added 5750php </t>
  </si>
  <si>
    <t>Allowance (Oct 12-31) included in carmie</t>
  </si>
  <si>
    <t>Fare/Lunch</t>
  </si>
  <si>
    <t>Carmie's Salary/Fare</t>
  </si>
  <si>
    <t>Fare/Load/Fire Safety Inspection</t>
  </si>
  <si>
    <t>Allowance/Fare/Tools</t>
  </si>
  <si>
    <t>Sauna Delivery/Fare/Dish Drainer</t>
  </si>
  <si>
    <t>Dinner (18.36*8)sgd</t>
  </si>
  <si>
    <t>Added 18.36sgd Dinner in the Balance</t>
  </si>
  <si>
    <t>As of Nov 8</t>
  </si>
  <si>
    <t>CCTV Included in Kuya Tommy</t>
  </si>
  <si>
    <t>Allowance/Fare</t>
  </si>
  <si>
    <t>Fire Permit/Fire Extinguisher</t>
  </si>
  <si>
    <t>Soft/Grand  Opening Expense - inside Carmie</t>
  </si>
  <si>
    <t>350K Top-up</t>
  </si>
  <si>
    <t>Total Share</t>
  </si>
  <si>
    <t>As of Nov 14</t>
  </si>
  <si>
    <t>3.5M Share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</si>
</sst>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mm/dd/yy;@"/>
    <numFmt numFmtId="165" formatCode="[$-409]d\-mmm\-yy;@"/>
    <numFmt numFmtId="166" formatCode="m/d;@"/>
    <numFmt numFmtId="167" formatCode="[$-409]dd\-mmm\-yy;@"/>
    <numFmt numFmtId="168" formatCode="#,##0.0"/>
  </numFmts>
  <fonts count="2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3" tint="-0.249977111117893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8"/>
      <color theme="9" tint="-0.499984740745262"/>
      <name val="Arial"/>
      <family val="2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43" fontId="22" fillId="0" borderId="0" applyFont="0" applyFill="0" applyBorder="0" applyAlignment="0" applyProtection="0"/>
  </cellStyleXfs>
  <cellXfs count="326">
    <xf numFmtId="0" fontId="0" fillId="0" borderId="0" xfId="0"/>
    <xf numFmtId="0" fontId="2" fillId="2" borderId="1" xfId="0" applyFont="1" applyFill="1" applyBorder="1" applyAlignment="1">
      <alignment horizontal="left"/>
    </xf>
    <xf numFmtId="0" fontId="2" fillId="3" borderId="0" xfId="0" applyFont="1" applyFill="1"/>
    <xf numFmtId="0" fontId="0" fillId="3" borderId="1" xfId="0" applyFont="1" applyFill="1" applyBorder="1" applyAlignment="1">
      <alignment horizontal="left"/>
    </xf>
    <xf numFmtId="0" fontId="0" fillId="3" borderId="0" xfId="0" applyFill="1"/>
    <xf numFmtId="0" fontId="0" fillId="3" borderId="1" xfId="0" applyFill="1" applyBorder="1" applyAlignment="1">
      <alignment horizontal="left"/>
    </xf>
    <xf numFmtId="0" fontId="0" fillId="3" borderId="0" xfId="0" applyFill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0" fillId="3" borderId="1" xfId="0" applyNumberFormat="1" applyFont="1" applyFill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3" fontId="3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5" fillId="3" borderId="0" xfId="0" applyFont="1" applyFill="1"/>
    <xf numFmtId="3" fontId="5" fillId="3" borderId="0" xfId="0" applyNumberFormat="1" applyFon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3" fillId="0" borderId="0" xfId="0" applyFont="1"/>
    <xf numFmtId="3" fontId="1" fillId="0" borderId="17" xfId="0" applyNumberFormat="1" applyFont="1" applyFill="1" applyBorder="1" applyAlignment="1">
      <alignment horizontal="center"/>
    </xf>
    <xf numFmtId="164" fontId="1" fillId="0" borderId="18" xfId="0" applyNumberFormat="1" applyFont="1" applyFill="1" applyBorder="1" applyAlignment="1">
      <alignment horizontal="center"/>
    </xf>
    <xf numFmtId="3" fontId="0" fillId="0" borderId="0" xfId="0" applyNumberFormat="1"/>
    <xf numFmtId="165" fontId="2" fillId="2" borderId="1" xfId="0" applyNumberFormat="1" applyFont="1" applyFill="1" applyBorder="1" applyAlignment="1">
      <alignment horizontal="center"/>
    </xf>
    <xf numFmtId="165" fontId="0" fillId="3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0" fillId="3" borderId="1" xfId="0" quotePrefix="1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165" fontId="5" fillId="3" borderId="0" xfId="0" applyNumberFormat="1" applyFont="1" applyFill="1" applyAlignment="1">
      <alignment horizontal="center"/>
    </xf>
    <xf numFmtId="165" fontId="0" fillId="3" borderId="0" xfId="0" applyNumberFormat="1" applyFill="1" applyAlignment="1">
      <alignment horizontal="center"/>
    </xf>
    <xf numFmtId="165" fontId="0" fillId="5" borderId="1" xfId="0" applyNumberFormat="1" applyFont="1" applyFill="1" applyBorder="1" applyAlignment="1">
      <alignment horizontal="center"/>
    </xf>
    <xf numFmtId="3" fontId="0" fillId="5" borderId="1" xfId="0" applyNumberFormat="1" applyFont="1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3" fontId="3" fillId="6" borderId="0" xfId="0" applyNumberFormat="1" applyFont="1" applyFill="1" applyAlignment="1">
      <alignment horizontal="center"/>
    </xf>
    <xf numFmtId="0" fontId="5" fillId="6" borderId="0" xfId="0" applyFont="1" applyFill="1" applyAlignment="1">
      <alignment horizontal="left"/>
    </xf>
    <xf numFmtId="0" fontId="0" fillId="0" borderId="12" xfId="0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165" fontId="2" fillId="0" borderId="35" xfId="0" applyNumberFormat="1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65" fontId="0" fillId="0" borderId="12" xfId="0" applyNumberForma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/>
    <xf numFmtId="0" fontId="0" fillId="0" borderId="1" xfId="0" applyFont="1" applyBorder="1"/>
    <xf numFmtId="0" fontId="3" fillId="0" borderId="0" xfId="0" applyFont="1" applyFill="1"/>
    <xf numFmtId="0" fontId="0" fillId="0" borderId="0" xfId="0" applyFill="1"/>
    <xf numFmtId="165" fontId="0" fillId="0" borderId="1" xfId="0" applyNumberFormat="1" applyFont="1" applyFill="1" applyBorder="1" applyAlignment="1">
      <alignment horizontal="center"/>
    </xf>
    <xf numFmtId="3" fontId="0" fillId="0" borderId="1" xfId="0" applyNumberFormat="1" applyFon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vertical="center" wrapText="1"/>
    </xf>
    <xf numFmtId="165" fontId="0" fillId="0" borderId="12" xfId="0" applyNumberFormat="1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3" fontId="8" fillId="0" borderId="0" xfId="0" applyNumberFormat="1" applyFont="1" applyFill="1" applyAlignment="1">
      <alignment vertical="center" wrapText="1"/>
    </xf>
    <xf numFmtId="3" fontId="8" fillId="0" borderId="0" xfId="0" applyNumberFormat="1" applyFont="1" applyFill="1" applyAlignment="1">
      <alignment horizontal="center" vertical="center" wrapText="1"/>
    </xf>
    <xf numFmtId="0" fontId="2" fillId="0" borderId="1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3" fontId="0" fillId="3" borderId="1" xfId="0" applyNumberFormat="1" applyFont="1" applyFill="1" applyBorder="1" applyAlignment="1">
      <alignment horizontal="left"/>
    </xf>
    <xf numFmtId="0" fontId="13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5" fillId="0" borderId="0" xfId="0" applyFont="1"/>
    <xf numFmtId="0" fontId="16" fillId="0" borderId="0" xfId="0" applyFont="1"/>
    <xf numFmtId="0" fontId="16" fillId="0" borderId="2" xfId="0" applyFont="1" applyBorder="1" applyAlignment="1">
      <alignment horizontal="center"/>
    </xf>
    <xf numFmtId="17" fontId="16" fillId="0" borderId="4" xfId="0" applyNumberFormat="1" applyFont="1" applyBorder="1" applyAlignment="1">
      <alignment horizontal="center"/>
    </xf>
    <xf numFmtId="16" fontId="16" fillId="0" borderId="36" xfId="0" applyNumberFormat="1" applyFont="1" applyBorder="1" applyAlignment="1">
      <alignment horizontal="center"/>
    </xf>
    <xf numFmtId="0" fontId="16" fillId="0" borderId="49" xfId="0" applyFont="1" applyBorder="1" applyAlignment="1">
      <alignment horizontal="center"/>
    </xf>
    <xf numFmtId="0" fontId="15" fillId="0" borderId="39" xfId="0" applyFont="1" applyFill="1" applyBorder="1"/>
    <xf numFmtId="3" fontId="15" fillId="0" borderId="40" xfId="0" applyNumberFormat="1" applyFont="1" applyFill="1" applyBorder="1" applyAlignment="1">
      <alignment horizontal="center"/>
    </xf>
    <xf numFmtId="0" fontId="15" fillId="0" borderId="0" xfId="0" applyFont="1" applyFill="1"/>
    <xf numFmtId="0" fontId="15" fillId="0" borderId="41" xfId="0" applyFont="1" applyFill="1" applyBorder="1"/>
    <xf numFmtId="0" fontId="15" fillId="0" borderId="41" xfId="0" applyFont="1" applyBorder="1"/>
    <xf numFmtId="3" fontId="15" fillId="0" borderId="42" xfId="0" applyNumberFormat="1" applyFont="1" applyBorder="1" applyAlignment="1">
      <alignment horizontal="center"/>
    </xf>
    <xf numFmtId="0" fontId="15" fillId="0" borderId="50" xfId="0" applyFont="1" applyBorder="1"/>
    <xf numFmtId="0" fontId="16" fillId="0" borderId="2" xfId="0" applyFont="1" applyBorder="1"/>
    <xf numFmtId="0" fontId="15" fillId="0" borderId="39" xfId="0" applyFont="1" applyBorder="1"/>
    <xf numFmtId="3" fontId="15" fillId="0" borderId="12" xfId="0" applyNumberFormat="1" applyFont="1" applyBorder="1" applyAlignment="1">
      <alignment horizontal="center"/>
    </xf>
    <xf numFmtId="3" fontId="16" fillId="0" borderId="40" xfId="0" applyNumberFormat="1" applyFont="1" applyBorder="1" applyAlignment="1">
      <alignment horizontal="center"/>
    </xf>
    <xf numFmtId="3" fontId="15" fillId="0" borderId="1" xfId="0" applyNumberFormat="1" applyFont="1" applyBorder="1" applyAlignment="1">
      <alignment horizontal="center"/>
    </xf>
    <xf numFmtId="3" fontId="15" fillId="0" borderId="51" xfId="0" applyNumberFormat="1" applyFont="1" applyBorder="1" applyAlignment="1">
      <alignment horizontal="center"/>
    </xf>
    <xf numFmtId="3" fontId="15" fillId="0" borderId="0" xfId="0" applyNumberFormat="1" applyFont="1"/>
    <xf numFmtId="0" fontId="14" fillId="4" borderId="0" xfId="0" applyFont="1" applyFill="1"/>
    <xf numFmtId="0" fontId="17" fillId="0" borderId="0" xfId="0" applyFont="1"/>
    <xf numFmtId="3" fontId="15" fillId="0" borderId="1" xfId="0" applyNumberFormat="1" applyFont="1" applyFill="1" applyBorder="1" applyAlignment="1">
      <alignment horizontal="center"/>
    </xf>
    <xf numFmtId="3" fontId="15" fillId="0" borderId="51" xfId="0" applyNumberFormat="1" applyFont="1" applyFill="1" applyBorder="1" applyAlignment="1">
      <alignment horizontal="center"/>
    </xf>
    <xf numFmtId="0" fontId="15" fillId="0" borderId="41" xfId="0" applyFont="1" applyFill="1" applyBorder="1" applyAlignment="1">
      <alignment horizontal="left"/>
    </xf>
    <xf numFmtId="0" fontId="15" fillId="0" borderId="50" xfId="0" applyFont="1" applyFill="1" applyBorder="1" applyAlignment="1">
      <alignment horizontal="left"/>
    </xf>
    <xf numFmtId="3" fontId="15" fillId="0" borderId="12" xfId="0" applyNumberFormat="1" applyFont="1" applyFill="1" applyBorder="1" applyAlignment="1">
      <alignment horizontal="center"/>
    </xf>
    <xf numFmtId="3" fontId="0" fillId="0" borderId="0" xfId="0" applyNumberFormat="1" applyFill="1"/>
    <xf numFmtId="3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49" fontId="7" fillId="0" borderId="2" xfId="1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9" fontId="0" fillId="0" borderId="8" xfId="0" applyNumberFormat="1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0" fillId="0" borderId="10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3" fontId="0" fillId="0" borderId="13" xfId="0" applyNumberFormat="1" applyFill="1" applyBorder="1" applyAlignment="1">
      <alignment horizontal="center"/>
    </xf>
    <xf numFmtId="3" fontId="0" fillId="0" borderId="14" xfId="0" applyNumberForma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9" fontId="0" fillId="0" borderId="16" xfId="0" applyNumberFormat="1" applyFill="1" applyBorder="1" applyAlignment="1">
      <alignment horizontal="center"/>
    </xf>
    <xf numFmtId="3" fontId="0" fillId="0" borderId="17" xfId="0" applyNumberFormat="1" applyFill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3" fontId="11" fillId="0" borderId="17" xfId="0" applyNumberFormat="1" applyFont="1" applyFill="1" applyBorder="1" applyAlignment="1">
      <alignment horizontal="center"/>
    </xf>
    <xf numFmtId="164" fontId="11" fillId="0" borderId="18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9" fontId="0" fillId="0" borderId="20" xfId="0" applyNumberFormat="1" applyFill="1" applyBorder="1" applyAlignment="1">
      <alignment horizontal="center"/>
    </xf>
    <xf numFmtId="3" fontId="0" fillId="0" borderId="21" xfId="0" applyNumberFormat="1" applyFill="1" applyBorder="1" applyAlignment="1">
      <alignment horizontal="center"/>
    </xf>
    <xf numFmtId="3" fontId="0" fillId="0" borderId="22" xfId="0" applyNumberFormat="1" applyFill="1" applyBorder="1" applyAlignment="1">
      <alignment horizontal="center"/>
    </xf>
    <xf numFmtId="164" fontId="0" fillId="0" borderId="23" xfId="0" applyNumberFormat="1" applyFill="1" applyBorder="1" applyAlignment="1">
      <alignment horizontal="center"/>
    </xf>
    <xf numFmtId="3" fontId="0" fillId="0" borderId="22" xfId="0" applyNumberFormat="1" applyFont="1" applyFill="1" applyBorder="1" applyAlignment="1">
      <alignment horizontal="center"/>
    </xf>
    <xf numFmtId="164" fontId="0" fillId="0" borderId="23" xfId="0" applyNumberFormat="1" applyFont="1" applyFill="1" applyBorder="1" applyAlignment="1">
      <alignment horizontal="center"/>
    </xf>
    <xf numFmtId="3" fontId="1" fillId="0" borderId="22" xfId="0" applyNumberFormat="1" applyFont="1" applyFill="1" applyBorder="1" applyAlignment="1">
      <alignment horizontal="center"/>
    </xf>
    <xf numFmtId="164" fontId="1" fillId="0" borderId="23" xfId="0" applyNumberFormat="1" applyFont="1" applyFill="1" applyBorder="1" applyAlignment="1">
      <alignment horizontal="center"/>
    </xf>
    <xf numFmtId="164" fontId="0" fillId="0" borderId="24" xfId="0" applyNumberFormat="1" applyFill="1" applyBorder="1" applyAlignment="1">
      <alignment horizontal="center"/>
    </xf>
    <xf numFmtId="0" fontId="8" fillId="0" borderId="25" xfId="0" applyFont="1" applyFill="1" applyBorder="1" applyAlignment="1">
      <alignment horizontal="center"/>
    </xf>
    <xf numFmtId="9" fontId="8" fillId="0" borderId="26" xfId="0" applyNumberFormat="1" applyFont="1" applyFill="1" applyBorder="1" applyAlignment="1">
      <alignment horizontal="center"/>
    </xf>
    <xf numFmtId="3" fontId="8" fillId="0" borderId="27" xfId="0" applyNumberFormat="1" applyFont="1" applyFill="1" applyBorder="1" applyAlignment="1">
      <alignment horizontal="center"/>
    </xf>
    <xf numFmtId="3" fontId="8" fillId="0" borderId="28" xfId="0" applyNumberFormat="1" applyFont="1" applyFill="1" applyBorder="1" applyAlignment="1">
      <alignment horizontal="center"/>
    </xf>
    <xf numFmtId="164" fontId="8" fillId="0" borderId="29" xfId="0" applyNumberFormat="1" applyFont="1" applyFill="1" applyBorder="1" applyAlignment="1">
      <alignment horizontal="center"/>
    </xf>
    <xf numFmtId="3" fontId="8" fillId="0" borderId="31" xfId="0" applyNumberFormat="1" applyFont="1" applyFill="1" applyBorder="1" applyAlignment="1">
      <alignment horizontal="center"/>
    </xf>
    <xf numFmtId="3" fontId="8" fillId="0" borderId="33" xfId="0" applyNumberFormat="1" applyFont="1" applyFill="1" applyBorder="1" applyAlignment="1">
      <alignment horizontal="center"/>
    </xf>
    <xf numFmtId="0" fontId="2" fillId="0" borderId="0" xfId="0" applyFont="1" applyFill="1"/>
    <xf numFmtId="164" fontId="1" fillId="0" borderId="34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165" fontId="0" fillId="0" borderId="51" xfId="0" applyNumberFormat="1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34" xfId="0" applyFont="1" applyBorder="1" applyAlignment="1">
      <alignment horizontal="center" vertical="center" wrapText="1"/>
    </xf>
    <xf numFmtId="1" fontId="8" fillId="0" borderId="34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/>
    </xf>
    <xf numFmtId="3" fontId="15" fillId="0" borderId="57" xfId="0" applyNumberFormat="1" applyFont="1" applyBorder="1" applyAlignment="1">
      <alignment horizontal="center"/>
    </xf>
    <xf numFmtId="3" fontId="15" fillId="0" borderId="58" xfId="0" applyNumberFormat="1" applyFont="1" applyBorder="1" applyAlignment="1">
      <alignment horizontal="center"/>
    </xf>
    <xf numFmtId="16" fontId="0" fillId="0" borderId="0" xfId="0" applyNumberFormat="1" applyAlignment="1">
      <alignment horizontal="center" vertical="center" wrapText="1"/>
    </xf>
    <xf numFmtId="16" fontId="0" fillId="0" borderId="0" xfId="0" applyNumberFormat="1"/>
    <xf numFmtId="4" fontId="2" fillId="0" borderId="35" xfId="0" applyNumberFormat="1" applyFon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51" xfId="0" applyNumberFormat="1" applyBorder="1" applyAlignment="1">
      <alignment horizontal="center" vertical="center" wrapText="1"/>
    </xf>
    <xf numFmtId="4" fontId="8" fillId="0" borderId="34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2" fillId="0" borderId="35" xfId="0" applyNumberFormat="1" applyFont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 wrapText="1"/>
    </xf>
    <xf numFmtId="3" fontId="0" fillId="0" borderId="51" xfId="0" applyNumberFormat="1" applyBorder="1" applyAlignment="1">
      <alignment horizontal="center" vertical="center" wrapText="1"/>
    </xf>
    <xf numFmtId="3" fontId="8" fillId="0" borderId="34" xfId="0" applyNumberFormat="1" applyFont="1" applyBorder="1" applyAlignment="1">
      <alignment horizontal="center" vertical="center" wrapText="1"/>
    </xf>
    <xf numFmtId="3" fontId="3" fillId="7" borderId="0" xfId="0" applyNumberFormat="1" applyFont="1" applyFill="1" applyBorder="1" applyAlignment="1">
      <alignment horizontal="left" vertical="center" wrapText="1" indent="2"/>
    </xf>
    <xf numFmtId="3" fontId="0" fillId="0" borderId="0" xfId="0" applyNumberFormat="1" applyAlignment="1">
      <alignment horizontal="center" vertical="center" wrapText="1"/>
    </xf>
    <xf numFmtId="3" fontId="2" fillId="0" borderId="38" xfId="0" applyNumberFormat="1" applyFont="1" applyBorder="1" applyAlignment="1">
      <alignment horizontal="center" vertical="center" wrapText="1"/>
    </xf>
    <xf numFmtId="3" fontId="0" fillId="0" borderId="40" xfId="0" applyNumberFormat="1" applyBorder="1" applyAlignment="1">
      <alignment horizontal="center" vertical="center" wrapText="1"/>
    </xf>
    <xf numFmtId="3" fontId="0" fillId="0" borderId="42" xfId="0" applyNumberFormat="1" applyBorder="1" applyAlignment="1">
      <alignment horizontal="center" vertical="center" wrapText="1"/>
    </xf>
    <xf numFmtId="3" fontId="0" fillId="0" borderId="52" xfId="0" applyNumberFormat="1" applyBorder="1" applyAlignment="1">
      <alignment horizontal="center" vertical="center" wrapText="1"/>
    </xf>
    <xf numFmtId="3" fontId="8" fillId="0" borderId="48" xfId="0" applyNumberFormat="1" applyFont="1" applyBorder="1" applyAlignment="1">
      <alignment horizontal="left" vertical="center"/>
    </xf>
    <xf numFmtId="3" fontId="8" fillId="0" borderId="0" xfId="0" applyNumberFormat="1" applyFont="1" applyAlignment="1">
      <alignment horizontal="center" vertical="center" wrapText="1"/>
    </xf>
    <xf numFmtId="3" fontId="3" fillId="7" borderId="0" xfId="0" applyNumberFormat="1" applyFont="1" applyFill="1" applyAlignment="1">
      <alignment horizontal="left" vertical="center"/>
    </xf>
    <xf numFmtId="3" fontId="2" fillId="0" borderId="0" xfId="0" applyNumberFormat="1" applyFont="1" applyAlignment="1">
      <alignment horizontal="center" vertical="center" wrapText="1"/>
    </xf>
    <xf numFmtId="0" fontId="12" fillId="7" borderId="0" xfId="0" applyFont="1" applyFill="1"/>
    <xf numFmtId="0" fontId="16" fillId="7" borderId="49" xfId="0" applyFont="1" applyFill="1" applyBorder="1" applyAlignment="1">
      <alignment horizontal="center"/>
    </xf>
    <xf numFmtId="3" fontId="15" fillId="7" borderId="42" xfId="0" applyNumberFormat="1" applyFont="1" applyFill="1" applyBorder="1" applyAlignment="1">
      <alignment horizontal="center"/>
    </xf>
    <xf numFmtId="3" fontId="15" fillId="7" borderId="52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0" fontId="15" fillId="0" borderId="42" xfId="0" applyFont="1" applyBorder="1" applyAlignment="1">
      <alignment horizontal="center"/>
    </xf>
    <xf numFmtId="0" fontId="15" fillId="0" borderId="52" xfId="0" applyFont="1" applyBorder="1" applyAlignment="1">
      <alignment horizontal="center"/>
    </xf>
    <xf numFmtId="3" fontId="14" fillId="4" borderId="0" xfId="0" applyNumberFormat="1" applyFont="1" applyFill="1" applyAlignment="1">
      <alignment horizontal="center"/>
    </xf>
    <xf numFmtId="0" fontId="16" fillId="0" borderId="59" xfId="0" applyFont="1" applyBorder="1" applyAlignment="1">
      <alignment horizontal="center"/>
    </xf>
    <xf numFmtId="0" fontId="3" fillId="7" borderId="0" xfId="0" applyFont="1" applyFill="1"/>
    <xf numFmtId="3" fontId="3" fillId="7" borderId="0" xfId="0" applyNumberFormat="1" applyFont="1" applyFill="1"/>
    <xf numFmtId="0" fontId="3" fillId="7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166" fontId="0" fillId="8" borderId="1" xfId="0" applyNumberFormat="1" applyFill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 vertical="center" wrapText="1"/>
    </xf>
    <xf numFmtId="166" fontId="0" fillId="5" borderId="1" xfId="0" applyNumberFormat="1" applyFill="1" applyBorder="1" applyAlignment="1">
      <alignment horizontal="center" vertical="center" wrapText="1"/>
    </xf>
    <xf numFmtId="0" fontId="19" fillId="0" borderId="1" xfId="0" quotePrefix="1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65" fontId="19" fillId="0" borderId="1" xfId="0" applyNumberFormat="1" applyFont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9" fillId="0" borderId="1" xfId="0" applyNumberFormat="1" applyFont="1" applyBorder="1" applyAlignment="1">
      <alignment horizontal="center"/>
    </xf>
    <xf numFmtId="3" fontId="14" fillId="9" borderId="0" xfId="0" applyNumberFormat="1" applyFont="1" applyFill="1" applyAlignment="1">
      <alignment horizontal="center"/>
    </xf>
    <xf numFmtId="3" fontId="2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4" fontId="3" fillId="0" borderId="0" xfId="0" applyNumberFormat="1" applyFont="1" applyAlignment="1">
      <alignment horizontal="center"/>
    </xf>
    <xf numFmtId="165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3" fontId="0" fillId="3" borderId="1" xfId="0" applyNumberFormat="1" applyFill="1" applyBorder="1" applyAlignment="1">
      <alignment horizontal="left"/>
    </xf>
    <xf numFmtId="3" fontId="15" fillId="0" borderId="9" xfId="0" applyNumberFormat="1" applyFont="1" applyFill="1" applyBorder="1" applyAlignment="1">
      <alignment horizontal="center"/>
    </xf>
    <xf numFmtId="3" fontId="15" fillId="0" borderId="60" xfId="0" applyNumberFormat="1" applyFont="1" applyFill="1" applyBorder="1" applyAlignment="1">
      <alignment horizontal="center"/>
    </xf>
    <xf numFmtId="3" fontId="15" fillId="0" borderId="60" xfId="0" applyNumberFormat="1" applyFont="1" applyBorder="1" applyAlignment="1">
      <alignment horizontal="center"/>
    </xf>
    <xf numFmtId="3" fontId="15" fillId="0" borderId="62" xfId="0" applyNumberFormat="1" applyFont="1" applyBorder="1" applyAlignment="1">
      <alignment horizontal="center"/>
    </xf>
    <xf numFmtId="3" fontId="15" fillId="0" borderId="9" xfId="0" applyNumberFormat="1" applyFont="1" applyBorder="1" applyAlignment="1">
      <alignment horizontal="center"/>
    </xf>
    <xf numFmtId="3" fontId="15" fillId="0" borderId="62" xfId="0" applyNumberFormat="1" applyFont="1" applyFill="1" applyBorder="1" applyAlignment="1">
      <alignment horizontal="center"/>
    </xf>
    <xf numFmtId="3" fontId="16" fillId="0" borderId="63" xfId="0" applyNumberFormat="1" applyFont="1" applyBorder="1" applyAlignment="1">
      <alignment horizontal="center"/>
    </xf>
    <xf numFmtId="167" fontId="0" fillId="0" borderId="12" xfId="0" applyNumberFormat="1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65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3" fontId="15" fillId="0" borderId="63" xfId="0" applyNumberFormat="1" applyFont="1" applyFill="1" applyBorder="1" applyAlignment="1">
      <alignment horizontal="center"/>
    </xf>
    <xf numFmtId="3" fontId="17" fillId="0" borderId="0" xfId="0" applyNumberFormat="1" applyFont="1" applyAlignment="1">
      <alignment horizontal="center"/>
    </xf>
    <xf numFmtId="0" fontId="8" fillId="0" borderId="0" xfId="0" applyFont="1" applyFill="1" applyAlignment="1"/>
    <xf numFmtId="0" fontId="0" fillId="0" borderId="0" xfId="0" applyFill="1" applyAlignment="1"/>
    <xf numFmtId="43" fontId="0" fillId="0" borderId="0" xfId="2" applyNumberFormat="1" applyFont="1" applyFill="1" applyAlignment="1"/>
    <xf numFmtId="43" fontId="0" fillId="0" borderId="0" xfId="0" applyNumberFormat="1" applyFill="1" applyAlignment="1"/>
    <xf numFmtId="0" fontId="2" fillId="0" borderId="0" xfId="0" applyFont="1" applyFill="1" applyAlignment="1">
      <alignment horizontal="left" indent="5"/>
    </xf>
    <xf numFmtId="43" fontId="2" fillId="0" borderId="0" xfId="0" applyNumberFormat="1" applyFont="1" applyFill="1" applyAlignment="1"/>
    <xf numFmtId="0" fontId="0" fillId="0" borderId="0" xfId="0" applyFill="1" applyAlignment="1">
      <alignment horizontal="left"/>
    </xf>
    <xf numFmtId="2" fontId="0" fillId="0" borderId="0" xfId="0" applyNumberFormat="1" applyFill="1" applyAlignment="1"/>
    <xf numFmtId="4" fontId="3" fillId="0" borderId="0" xfId="0" applyNumberFormat="1" applyFont="1" applyFill="1" applyAlignment="1"/>
    <xf numFmtId="43" fontId="0" fillId="0" borderId="0" xfId="0" applyNumberFormat="1"/>
    <xf numFmtId="4" fontId="0" fillId="0" borderId="0" xfId="0" applyNumberFormat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7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center"/>
    </xf>
    <xf numFmtId="3" fontId="23" fillId="0" borderId="0" xfId="0" applyNumberFormat="1" applyFont="1"/>
    <xf numFmtId="43" fontId="0" fillId="0" borderId="1" xfId="2" applyNumberFormat="1" applyFont="1" applyBorder="1" applyAlignment="1"/>
    <xf numFmtId="4" fontId="0" fillId="0" borderId="1" xfId="0" applyNumberFormat="1" applyBorder="1" applyAlignment="1">
      <alignment horizontal="right"/>
    </xf>
    <xf numFmtId="43" fontId="0" fillId="0" borderId="1" xfId="2" applyNumberFormat="1" applyFont="1" applyBorder="1" applyAlignment="1">
      <alignment horizontal="right"/>
    </xf>
    <xf numFmtId="16" fontId="0" fillId="0" borderId="1" xfId="0" applyNumberFormat="1" applyBorder="1" applyAlignment="1">
      <alignment horizontal="center"/>
    </xf>
    <xf numFmtId="3" fontId="14" fillId="0" borderId="0" xfId="0" applyNumberFormat="1" applyFont="1" applyFill="1" applyAlignment="1">
      <alignment horizontal="center"/>
    </xf>
    <xf numFmtId="0" fontId="0" fillId="5" borderId="0" xfId="0" applyFill="1" applyAlignment="1">
      <alignment horizontal="left"/>
    </xf>
    <xf numFmtId="17" fontId="0" fillId="0" borderId="0" xfId="0" applyNumberFormat="1"/>
    <xf numFmtId="0" fontId="3" fillId="0" borderId="0" xfId="0" applyFont="1" applyFill="1" applyAlignment="1">
      <alignment horizontal="left"/>
    </xf>
    <xf numFmtId="4" fontId="0" fillId="0" borderId="0" xfId="0" applyNumberFormat="1"/>
    <xf numFmtId="168" fontId="16" fillId="0" borderId="0" xfId="0" applyNumberFormat="1" applyFont="1" applyAlignment="1">
      <alignment horizontal="center"/>
    </xf>
    <xf numFmtId="3" fontId="16" fillId="0" borderId="0" xfId="0" applyNumberFormat="1" applyFont="1" applyAlignment="1">
      <alignment horizontal="center"/>
    </xf>
    <xf numFmtId="4" fontId="0" fillId="0" borderId="0" xfId="0" applyNumberFormat="1" applyFill="1"/>
    <xf numFmtId="4" fontId="2" fillId="0" borderId="47" xfId="0" applyNumberFormat="1" applyFont="1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8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/>
    <xf numFmtId="4" fontId="12" fillId="7" borderId="0" xfId="0" applyNumberFormat="1" applyFont="1" applyFill="1"/>
    <xf numFmtId="4" fontId="0" fillId="0" borderId="0" xfId="0" applyNumberFormat="1" applyFill="1" applyAlignment="1">
      <alignment horizontal="center"/>
    </xf>
    <xf numFmtId="4" fontId="2" fillId="0" borderId="35" xfId="0" applyNumberFormat="1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4" fontId="0" fillId="0" borderId="1" xfId="0" applyNumberFormat="1" applyFill="1" applyBorder="1"/>
    <xf numFmtId="4" fontId="2" fillId="0" borderId="12" xfId="0" applyNumberFormat="1" applyFont="1" applyFill="1" applyBorder="1" applyAlignment="1">
      <alignment horizontal="center"/>
    </xf>
    <xf numFmtId="4" fontId="0" fillId="0" borderId="1" xfId="0" quotePrefix="1" applyNumberFormat="1" applyFont="1" applyFill="1" applyBorder="1" applyAlignment="1">
      <alignment horizontal="center"/>
    </xf>
    <xf numFmtId="0" fontId="14" fillId="0" borderId="0" xfId="0" applyFont="1" applyFill="1"/>
    <xf numFmtId="3" fontId="0" fillId="0" borderId="1" xfId="0" applyNumberForma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3" fontId="0" fillId="5" borderId="17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17" fillId="5" borderId="0" xfId="0" applyFont="1" applyFill="1"/>
    <xf numFmtId="3" fontId="17" fillId="5" borderId="0" xfId="0" applyNumberFormat="1" applyFont="1" applyFill="1" applyAlignment="1">
      <alignment horizontal="center"/>
    </xf>
    <xf numFmtId="0" fontId="14" fillId="5" borderId="0" xfId="0" applyFont="1" applyFill="1"/>
    <xf numFmtId="0" fontId="14" fillId="5" borderId="0" xfId="0" applyFont="1" applyFill="1" applyAlignment="1">
      <alignment horizontal="center"/>
    </xf>
    <xf numFmtId="17" fontId="16" fillId="0" borderId="64" xfId="0" applyNumberFormat="1" applyFont="1" applyBorder="1" applyAlignment="1">
      <alignment horizontal="center"/>
    </xf>
    <xf numFmtId="3" fontId="15" fillId="0" borderId="65" xfId="0" applyNumberFormat="1" applyFont="1" applyBorder="1" applyAlignment="1">
      <alignment horizontal="center"/>
    </xf>
    <xf numFmtId="3" fontId="15" fillId="0" borderId="65" xfId="0" applyNumberFormat="1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left"/>
    </xf>
    <xf numFmtId="0" fontId="15" fillId="5" borderId="0" xfId="0" applyFont="1" applyFill="1"/>
    <xf numFmtId="0" fontId="15" fillId="5" borderId="0" xfId="0" applyFont="1" applyFill="1" applyAlignment="1">
      <alignment horizontal="center"/>
    </xf>
    <xf numFmtId="0" fontId="17" fillId="5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3" fontId="8" fillId="0" borderId="30" xfId="0" applyNumberFormat="1" applyFont="1" applyFill="1" applyBorder="1" applyAlignment="1">
      <alignment horizontal="center"/>
    </xf>
    <xf numFmtId="3" fontId="8" fillId="0" borderId="32" xfId="0" applyNumberFormat="1" applyFont="1" applyFill="1" applyBorder="1" applyAlignment="1">
      <alignment horizontal="center"/>
    </xf>
    <xf numFmtId="3" fontId="8" fillId="0" borderId="31" xfId="0" applyNumberFormat="1" applyFont="1" applyFill="1" applyBorder="1" applyAlignment="1">
      <alignment horizontal="center"/>
    </xf>
    <xf numFmtId="3" fontId="8" fillId="0" borderId="53" xfId="0" applyNumberFormat="1" applyFont="1" applyBorder="1" applyAlignment="1">
      <alignment horizontal="center" vertical="center" wrapText="1"/>
    </xf>
    <xf numFmtId="3" fontId="8" fillId="0" borderId="54" xfId="0" applyNumberFormat="1" applyFont="1" applyBorder="1" applyAlignment="1">
      <alignment horizontal="center" vertical="center" wrapText="1"/>
    </xf>
    <xf numFmtId="3" fontId="8" fillId="0" borderId="5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2" fillId="0" borderId="60" xfId="0" applyFont="1" applyFill="1" applyBorder="1" applyAlignment="1">
      <alignment horizontal="center" vertical="center" wrapText="1"/>
    </xf>
    <xf numFmtId="0" fontId="2" fillId="0" borderId="61" xfId="0" applyFont="1" applyFill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center" wrapText="1"/>
    </xf>
    <xf numFmtId="3" fontId="15" fillId="0" borderId="0" xfId="0" applyNumberFormat="1" applyFont="1" applyFill="1"/>
    <xf numFmtId="0" fontId="16" fillId="0" borderId="66" xfId="0" applyFont="1" applyBorder="1" applyAlignment="1">
      <alignment horizontal="center"/>
    </xf>
    <xf numFmtId="3" fontId="15" fillId="0" borderId="41" xfId="0" applyNumberFormat="1" applyFont="1" applyFill="1" applyBorder="1" applyAlignment="1">
      <alignment horizontal="center"/>
    </xf>
    <xf numFmtId="3" fontId="15" fillId="0" borderId="41" xfId="0" applyNumberFormat="1" applyFont="1" applyBorder="1" applyAlignment="1">
      <alignment horizontal="center"/>
    </xf>
    <xf numFmtId="3" fontId="15" fillId="0" borderId="50" xfId="0" applyNumberFormat="1" applyFont="1" applyBorder="1" applyAlignment="1">
      <alignment horizontal="center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Carmi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Y AND JUNE"/>
      <sheetName val="JULY"/>
      <sheetName val="AUGUST"/>
      <sheetName val="SEPTEMBER"/>
      <sheetName val="OCTOBER"/>
      <sheetName val="Sheet1"/>
    </sheetNames>
    <sheetDataSet>
      <sheetData sheetId="0"/>
      <sheetData sheetId="1"/>
      <sheetData sheetId="2"/>
      <sheetData sheetId="3">
        <row r="380">
          <cell r="B380">
            <v>100</v>
          </cell>
        </row>
        <row r="381">
          <cell r="B381">
            <v>205</v>
          </cell>
        </row>
        <row r="382">
          <cell r="B382">
            <v>1000</v>
          </cell>
        </row>
        <row r="383">
          <cell r="B383">
            <v>352</v>
          </cell>
        </row>
        <row r="384">
          <cell r="B384">
            <v>176</v>
          </cell>
        </row>
        <row r="385">
          <cell r="B385">
            <v>380</v>
          </cell>
        </row>
        <row r="463">
          <cell r="B463">
            <v>599.75</v>
          </cell>
        </row>
        <row r="464">
          <cell r="B464">
            <v>439.75</v>
          </cell>
        </row>
        <row r="465">
          <cell r="B465">
            <v>429.75</v>
          </cell>
        </row>
        <row r="466">
          <cell r="B466">
            <v>357</v>
          </cell>
        </row>
        <row r="495">
          <cell r="B495">
            <v>99</v>
          </cell>
        </row>
        <row r="496">
          <cell r="B496">
            <v>80</v>
          </cell>
        </row>
      </sheetData>
      <sheetData sheetId="4">
        <row r="8">
          <cell r="B8">
            <v>22</v>
          </cell>
        </row>
        <row r="9">
          <cell r="B9">
            <v>250</v>
          </cell>
        </row>
        <row r="10">
          <cell r="B10">
            <v>685</v>
          </cell>
        </row>
        <row r="117">
          <cell r="B117">
            <v>250</v>
          </cell>
        </row>
        <row r="118">
          <cell r="B118">
            <v>998.75</v>
          </cell>
        </row>
        <row r="119">
          <cell r="B119">
            <v>347.5</v>
          </cell>
        </row>
        <row r="139">
          <cell r="B139">
            <v>352</v>
          </cell>
        </row>
        <row r="140">
          <cell r="B140">
            <v>88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Dre@mers" TargetMode="External"/><Relationship Id="rId1" Type="http://schemas.openxmlformats.org/officeDocument/2006/relationships/hyperlink" Target="mailto:Dre@mer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T58"/>
  <sheetViews>
    <sheetView showGridLines="0" tabSelected="1" zoomScale="85" zoomScaleNormal="85" workbookViewId="0">
      <selection activeCell="S14" sqref="S14"/>
    </sheetView>
  </sheetViews>
  <sheetFormatPr defaultRowHeight="12.75"/>
  <cols>
    <col min="1" max="1" width="1.140625" style="73" customWidth="1"/>
    <col min="2" max="2" width="31.42578125" style="73" customWidth="1"/>
    <col min="3" max="4" width="11.85546875" style="102" customWidth="1"/>
    <col min="5" max="5" width="8.5703125" style="102" customWidth="1"/>
    <col min="6" max="6" width="7.140625" style="102" customWidth="1"/>
    <col min="7" max="10" width="9.85546875" style="102" customWidth="1"/>
    <col min="11" max="11" width="8.5703125" style="102" customWidth="1"/>
    <col min="12" max="12" width="7.140625" style="102" customWidth="1"/>
    <col min="13" max="13" width="12.42578125" style="102" customWidth="1"/>
    <col min="14" max="14" width="3" style="102" customWidth="1"/>
    <col min="15" max="15" width="15.42578125" style="102" bestFit="1" customWidth="1"/>
    <col min="16" max="16" width="11.85546875" style="102" bestFit="1" customWidth="1"/>
    <col min="17" max="17" width="12.42578125" style="102" bestFit="1" customWidth="1"/>
    <col min="18" max="18" width="11.85546875" style="102" bestFit="1" customWidth="1"/>
    <col min="19" max="19" width="9.85546875" style="73" bestFit="1" customWidth="1"/>
    <col min="20" max="16384" width="9.140625" style="73"/>
  </cols>
  <sheetData>
    <row r="1" spans="2:20" ht="18">
      <c r="B1" s="70" t="s">
        <v>92</v>
      </c>
    </row>
    <row r="2" spans="2:20" ht="18">
      <c r="B2" s="70"/>
    </row>
    <row r="3" spans="2:20" ht="16.5" thickBot="1">
      <c r="B3" s="71" t="s">
        <v>79</v>
      </c>
    </row>
    <row r="4" spans="2:20" ht="13.5" thickBot="1">
      <c r="B4" s="75" t="s">
        <v>83</v>
      </c>
      <c r="C4" s="76">
        <v>42064</v>
      </c>
      <c r="D4" s="76">
        <v>42095</v>
      </c>
      <c r="E4" s="76">
        <v>42125</v>
      </c>
      <c r="F4" s="76">
        <v>42156</v>
      </c>
      <c r="G4" s="76">
        <v>42186</v>
      </c>
      <c r="H4" s="76">
        <v>42217</v>
      </c>
      <c r="I4" s="76">
        <v>42248</v>
      </c>
      <c r="J4" s="76">
        <v>42278</v>
      </c>
      <c r="K4" s="291">
        <v>42323</v>
      </c>
      <c r="L4" s="291">
        <v>42339</v>
      </c>
      <c r="M4" s="77" t="s">
        <v>325</v>
      </c>
      <c r="O4" s="322" t="s">
        <v>326</v>
      </c>
      <c r="P4" s="191" t="s">
        <v>323</v>
      </c>
      <c r="Q4" s="191" t="s">
        <v>324</v>
      </c>
      <c r="R4" s="191" t="s">
        <v>88</v>
      </c>
      <c r="S4" s="183" t="s">
        <v>11</v>
      </c>
    </row>
    <row r="5" spans="2:20" s="81" customFormat="1" ht="13.5" thickTop="1">
      <c r="B5" s="79" t="s">
        <v>5</v>
      </c>
      <c r="C5" s="99">
        <v>150000</v>
      </c>
      <c r="D5" s="99">
        <v>243000</v>
      </c>
      <c r="E5" s="99"/>
      <c r="F5" s="99"/>
      <c r="G5" s="99"/>
      <c r="H5" s="99">
        <v>237000</v>
      </c>
      <c r="I5" s="99"/>
      <c r="J5" s="218"/>
      <c r="K5" s="218">
        <v>50000</v>
      </c>
      <c r="L5" s="218"/>
      <c r="M5" s="80">
        <f>SUM(C5:L5)</f>
        <v>680000</v>
      </c>
      <c r="N5" s="186"/>
      <c r="O5" s="323">
        <v>630000</v>
      </c>
      <c r="P5" s="95">
        <f>350000*0.18</f>
        <v>63000</v>
      </c>
      <c r="Q5" s="95">
        <f>P5+O5</f>
        <v>693000</v>
      </c>
      <c r="R5" s="95">
        <f>M29</f>
        <v>8170</v>
      </c>
      <c r="S5" s="184">
        <f>Q5-M5-R5+18.36*2*32.75</f>
        <v>6032.58</v>
      </c>
      <c r="T5" s="321"/>
    </row>
    <row r="6" spans="2:20">
      <c r="B6" s="82" t="s">
        <v>16</v>
      </c>
      <c r="C6" s="95">
        <v>150000</v>
      </c>
      <c r="D6" s="95">
        <v>200000</v>
      </c>
      <c r="E6" s="95"/>
      <c r="F6" s="95"/>
      <c r="G6" s="95"/>
      <c r="H6" s="95">
        <v>243500</v>
      </c>
      <c r="I6" s="95"/>
      <c r="J6" s="219"/>
      <c r="K6" s="218"/>
      <c r="L6" s="218"/>
      <c r="M6" s="80">
        <f>SUM(C6:L6)</f>
        <v>593500</v>
      </c>
      <c r="N6" s="186"/>
      <c r="O6" s="323">
        <v>595000</v>
      </c>
      <c r="P6" s="95">
        <f>350000*0.17</f>
        <v>59500.000000000007</v>
      </c>
      <c r="Q6" s="95">
        <f t="shared" ref="Q6:Q11" si="0">P6+O6</f>
        <v>654500</v>
      </c>
      <c r="R6" s="95">
        <f>M30</f>
        <v>1310</v>
      </c>
      <c r="S6" s="184">
        <f>Q6-M6-R6+18.36*2*32.75</f>
        <v>60892.58</v>
      </c>
    </row>
    <row r="7" spans="2:20">
      <c r="B7" s="83" t="s">
        <v>4</v>
      </c>
      <c r="C7" s="90">
        <v>140000</v>
      </c>
      <c r="D7" s="90">
        <v>225000</v>
      </c>
      <c r="E7" s="90"/>
      <c r="F7" s="90"/>
      <c r="G7" s="90"/>
      <c r="H7" s="90">
        <v>99750</v>
      </c>
      <c r="I7" s="90"/>
      <c r="J7" s="220"/>
      <c r="K7" s="222">
        <v>28000</v>
      </c>
      <c r="L7" s="222"/>
      <c r="M7" s="80">
        <f t="shared" ref="M7" si="1">SUM(C7:L7)</f>
        <v>492750</v>
      </c>
      <c r="O7" s="324">
        <v>490000.00000000006</v>
      </c>
      <c r="P7" s="95">
        <f>350000*0.14</f>
        <v>49000.000000000007</v>
      </c>
      <c r="Q7" s="95">
        <f t="shared" si="0"/>
        <v>539000.00000000012</v>
      </c>
      <c r="R7" s="90">
        <f>M31</f>
        <v>25048.134599999998</v>
      </c>
      <c r="S7" s="184">
        <f>Q7-M7-R7+18.36*32.75</f>
        <v>21803.15540000012</v>
      </c>
    </row>
    <row r="8" spans="2:20">
      <c r="B8" s="83" t="s">
        <v>8</v>
      </c>
      <c r="C8" s="90">
        <v>140000</v>
      </c>
      <c r="D8" s="90">
        <v>100000</v>
      </c>
      <c r="E8" s="90"/>
      <c r="F8" s="90"/>
      <c r="G8" s="90">
        <v>100000</v>
      </c>
      <c r="H8" s="90"/>
      <c r="I8" s="90"/>
      <c r="J8" s="220">
        <f>'BOD Credit Details'!L7+'BOD Credit Details'!N7+'BOD Credit Details'!P7</f>
        <v>145011</v>
      </c>
      <c r="K8" s="222"/>
      <c r="L8" s="222"/>
      <c r="M8" s="80">
        <f>SUM(C8:L8)</f>
        <v>485011</v>
      </c>
      <c r="O8" s="324">
        <v>490000.00000000006</v>
      </c>
      <c r="P8" s="95">
        <f t="shared" ref="P8:P10" si="2">350000*0.14</f>
        <v>49000.000000000007</v>
      </c>
      <c r="Q8" s="95">
        <f t="shared" si="0"/>
        <v>539000.00000000012</v>
      </c>
      <c r="R8" s="90">
        <f>M32</f>
        <v>4989</v>
      </c>
      <c r="S8" s="184">
        <f>Q8-M8-R8</f>
        <v>49000.000000000116</v>
      </c>
    </row>
    <row r="9" spans="2:20">
      <c r="B9" s="83" t="s">
        <v>9</v>
      </c>
      <c r="C9" s="90">
        <v>140000</v>
      </c>
      <c r="D9" s="90">
        <v>100000</v>
      </c>
      <c r="E9" s="90"/>
      <c r="F9" s="90"/>
      <c r="G9" s="90"/>
      <c r="H9" s="90"/>
      <c r="I9" s="90"/>
      <c r="J9" s="220">
        <f>'BOD Credit Details'!J8</f>
        <v>200000</v>
      </c>
      <c r="K9" s="222"/>
      <c r="L9" s="222"/>
      <c r="M9" s="80">
        <f>SUM(C9:L9)</f>
        <v>440000</v>
      </c>
      <c r="O9" s="324">
        <v>490000.00000000006</v>
      </c>
      <c r="P9" s="95">
        <f t="shared" si="2"/>
        <v>49000.000000000007</v>
      </c>
      <c r="Q9" s="95">
        <f t="shared" si="0"/>
        <v>539000.00000000012</v>
      </c>
      <c r="R9" s="90">
        <f>M33</f>
        <v>40575.449999999997</v>
      </c>
      <c r="S9" s="184">
        <f>Q9-M9-R9</f>
        <v>58424.550000000119</v>
      </c>
    </row>
    <row r="10" spans="2:20">
      <c r="B10" s="83" t="s">
        <v>7</v>
      </c>
      <c r="C10" s="90">
        <v>140000</v>
      </c>
      <c r="D10" s="90">
        <v>140000</v>
      </c>
      <c r="E10" s="90"/>
      <c r="F10" s="90"/>
      <c r="G10" s="90"/>
      <c r="H10" s="90"/>
      <c r="I10" s="90"/>
      <c r="J10" s="220">
        <f>'BOD Credit Details'!J9</f>
        <v>195234</v>
      </c>
      <c r="K10" s="222"/>
      <c r="L10" s="222"/>
      <c r="M10" s="80">
        <f>SUM(C10:L10)</f>
        <v>475234</v>
      </c>
      <c r="O10" s="324">
        <v>490000.00000000006</v>
      </c>
      <c r="P10" s="95">
        <f t="shared" si="2"/>
        <v>49000.000000000007</v>
      </c>
      <c r="Q10" s="95">
        <f t="shared" si="0"/>
        <v>539000.00000000012</v>
      </c>
      <c r="R10" s="90">
        <f>M34</f>
        <v>15765.75</v>
      </c>
      <c r="S10" s="184">
        <f>Q10-M10-R10+18.36*32.75*2</f>
        <v>49202.830000000118</v>
      </c>
    </row>
    <row r="11" spans="2:20" ht="13.5" thickBot="1">
      <c r="B11" s="85" t="s">
        <v>6</v>
      </c>
      <c r="C11" s="91">
        <v>140000</v>
      </c>
      <c r="D11" s="91">
        <v>135000</v>
      </c>
      <c r="E11" s="91"/>
      <c r="F11" s="91"/>
      <c r="G11" s="91"/>
      <c r="H11" s="91"/>
      <c r="I11" s="91"/>
      <c r="J11" s="221">
        <f>'BOD Credit Details'!L10</f>
        <v>34553</v>
      </c>
      <c r="K11" s="292">
        <v>18000</v>
      </c>
      <c r="L11" s="292"/>
      <c r="M11" s="231">
        <f>SUM(C11:L11)</f>
        <v>327553</v>
      </c>
      <c r="O11" s="325">
        <v>315000</v>
      </c>
      <c r="P11" s="96">
        <f>350000*0.09</f>
        <v>31500</v>
      </c>
      <c r="Q11" s="96">
        <f t="shared" si="0"/>
        <v>346500</v>
      </c>
      <c r="R11" s="91">
        <f>M35</f>
        <v>6678.7075000000004</v>
      </c>
      <c r="S11" s="185">
        <f>Q11-M11-R11+18.36*32.75</f>
        <v>12869.5825</v>
      </c>
    </row>
    <row r="12" spans="2:20" s="71" customFormat="1" ht="15.75">
      <c r="B12" s="71" t="s">
        <v>87</v>
      </c>
      <c r="C12" s="72">
        <f>SUM(C5:C11)</f>
        <v>1000000</v>
      </c>
      <c r="D12" s="72">
        <f t="shared" ref="D12:L12" si="3">SUM(D5:D11)</f>
        <v>1143000</v>
      </c>
      <c r="E12" s="72">
        <f t="shared" si="3"/>
        <v>0</v>
      </c>
      <c r="F12" s="72">
        <f t="shared" si="3"/>
        <v>0</v>
      </c>
      <c r="G12" s="72">
        <f t="shared" si="3"/>
        <v>100000</v>
      </c>
      <c r="H12" s="72">
        <f t="shared" si="3"/>
        <v>580250</v>
      </c>
      <c r="I12" s="72">
        <f t="shared" si="3"/>
        <v>0</v>
      </c>
      <c r="J12" s="72">
        <f t="shared" si="3"/>
        <v>574798</v>
      </c>
      <c r="K12" s="72">
        <f t="shared" si="3"/>
        <v>96000</v>
      </c>
      <c r="L12" s="72">
        <f t="shared" si="3"/>
        <v>0</v>
      </c>
      <c r="M12" s="72">
        <f>SUM(M5:M11)</f>
        <v>3494048</v>
      </c>
      <c r="N12" s="103"/>
      <c r="O12" s="72">
        <f>SUM(O5:O11)</f>
        <v>3500000</v>
      </c>
      <c r="P12" s="255">
        <f>SUM(P5:P11)</f>
        <v>350000</v>
      </c>
      <c r="Q12" s="255">
        <f>SUM(Q5:Q11)</f>
        <v>3850000</v>
      </c>
      <c r="R12" s="72">
        <f>SUM(R5:R11)</f>
        <v>102537.04210000001</v>
      </c>
      <c r="S12" s="255">
        <f>SUM(S5:S11)</f>
        <v>258225.27790000048</v>
      </c>
    </row>
    <row r="13" spans="2:20">
      <c r="M13" s="211">
        <f>SUM(C12:L12)</f>
        <v>3494048</v>
      </c>
      <c r="Q13" s="260"/>
      <c r="R13" s="260"/>
    </row>
    <row r="15" spans="2:20" s="71" customFormat="1" ht="16.5" thickBot="1">
      <c r="B15" s="71" t="s">
        <v>80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</row>
    <row r="16" spans="2:20" s="74" customFormat="1" ht="13.5" thickBot="1">
      <c r="B16" s="86" t="s">
        <v>88</v>
      </c>
      <c r="C16" s="76">
        <v>42064</v>
      </c>
      <c r="D16" s="76">
        <v>42095</v>
      </c>
      <c r="E16" s="76">
        <v>42125</v>
      </c>
      <c r="F16" s="76">
        <v>42156</v>
      </c>
      <c r="G16" s="76">
        <v>42186</v>
      </c>
      <c r="H16" s="76">
        <v>42217</v>
      </c>
      <c r="I16" s="76">
        <v>42248</v>
      </c>
      <c r="J16" s="76">
        <v>42278</v>
      </c>
      <c r="K16" s="291">
        <v>42323</v>
      </c>
      <c r="L16" s="291">
        <v>42339</v>
      </c>
      <c r="M16" s="77" t="s">
        <v>325</v>
      </c>
      <c r="N16" s="187"/>
      <c r="O16" s="156" t="s">
        <v>101</v>
      </c>
      <c r="P16" s="78" t="s">
        <v>11</v>
      </c>
      <c r="Q16" s="187"/>
      <c r="R16" s="187"/>
    </row>
    <row r="17" spans="2:19" ht="13.5" thickTop="1">
      <c r="B17" s="87" t="s">
        <v>103</v>
      </c>
      <c r="C17" s="88"/>
      <c r="D17" s="88">
        <v>650000</v>
      </c>
      <c r="E17" s="88"/>
      <c r="F17" s="88"/>
      <c r="G17" s="88"/>
      <c r="H17" s="88"/>
      <c r="I17" s="88"/>
      <c r="J17" s="222">
        <v>46000</v>
      </c>
      <c r="K17" s="222"/>
      <c r="L17" s="222"/>
      <c r="M17" s="89">
        <f>SUM(C17:L17)</f>
        <v>696000</v>
      </c>
      <c r="O17" s="157">
        <v>1419224</v>
      </c>
      <c r="P17" s="84">
        <f>O17-M17</f>
        <v>723224</v>
      </c>
      <c r="S17" s="92"/>
    </row>
    <row r="18" spans="2:19">
      <c r="B18" s="83" t="s">
        <v>81</v>
      </c>
      <c r="C18" s="90"/>
      <c r="D18" s="90">
        <v>54000</v>
      </c>
      <c r="E18" s="90"/>
      <c r="F18" s="90"/>
      <c r="G18" s="90"/>
      <c r="H18" s="90"/>
      <c r="I18" s="90"/>
      <c r="J18" s="220"/>
      <c r="K18" s="222"/>
      <c r="L18" s="222"/>
      <c r="M18" s="89">
        <f t="shared" ref="M18:M21" si="4">SUM(C18:L18)</f>
        <v>54000</v>
      </c>
      <c r="O18" s="157"/>
      <c r="P18" s="188"/>
    </row>
    <row r="19" spans="2:19">
      <c r="B19" s="83" t="s">
        <v>82</v>
      </c>
      <c r="C19" s="90"/>
      <c r="D19" s="90"/>
      <c r="E19" s="90"/>
      <c r="F19" s="90"/>
      <c r="G19" s="90"/>
      <c r="H19" s="90">
        <v>345000</v>
      </c>
      <c r="I19" s="90"/>
      <c r="J19" s="220"/>
      <c r="K19" s="222"/>
      <c r="L19" s="222"/>
      <c r="M19" s="89">
        <f t="shared" si="4"/>
        <v>345000</v>
      </c>
      <c r="O19" s="157"/>
      <c r="P19" s="188"/>
    </row>
    <row r="20" spans="2:19">
      <c r="B20" s="83" t="s">
        <v>34</v>
      </c>
      <c r="C20" s="90"/>
      <c r="D20" s="90"/>
      <c r="E20" s="90"/>
      <c r="F20" s="90">
        <v>2000</v>
      </c>
      <c r="G20" s="90">
        <v>8000</v>
      </c>
      <c r="H20" s="90">
        <v>350000</v>
      </c>
      <c r="I20" s="90">
        <f>SUM('Kuya Tommy'!D6:D9)</f>
        <v>450000</v>
      </c>
      <c r="J20" s="220">
        <f>SUM('Kuya Tommy'!D10:D16)</f>
        <v>700000</v>
      </c>
      <c r="K20" s="222">
        <f>'Kuya Tommy'!D17</f>
        <v>15000</v>
      </c>
      <c r="L20" s="222"/>
      <c r="M20" s="89">
        <f t="shared" si="4"/>
        <v>1525000</v>
      </c>
      <c r="O20" s="157">
        <f>1523015+8000+15000</f>
        <v>1546015</v>
      </c>
      <c r="P20" s="84">
        <f>O20-M20</f>
        <v>21015</v>
      </c>
    </row>
    <row r="21" spans="2:19" ht="13.5" thickBot="1">
      <c r="B21" s="85" t="s">
        <v>51</v>
      </c>
      <c r="C21" s="91"/>
      <c r="D21" s="91"/>
      <c r="E21" s="91"/>
      <c r="F21" s="91"/>
      <c r="G21" s="91">
        <v>276</v>
      </c>
      <c r="H21" s="91">
        <v>30000</v>
      </c>
      <c r="I21" s="91">
        <f>SUM(Carmie!C8:C20)</f>
        <v>130000</v>
      </c>
      <c r="J21" s="221">
        <f>SUM(Carmie!C21:C24)</f>
        <v>100000</v>
      </c>
      <c r="K21" s="292">
        <f>SUM(Carmie!C25+Carmie!C26)</f>
        <v>50000</v>
      </c>
      <c r="L21" s="292"/>
      <c r="M21" s="224">
        <f t="shared" si="4"/>
        <v>310276</v>
      </c>
      <c r="O21" s="158"/>
      <c r="P21" s="189"/>
    </row>
    <row r="22" spans="2:19" s="71" customFormat="1" ht="15.75">
      <c r="B22" s="71" t="s">
        <v>89</v>
      </c>
      <c r="C22" s="72">
        <f>SUM(C17:C21)</f>
        <v>0</v>
      </c>
      <c r="D22" s="72">
        <f t="shared" ref="D22:J22" si="5">SUM(D17:D21)</f>
        <v>704000</v>
      </c>
      <c r="E22" s="72">
        <f t="shared" si="5"/>
        <v>0</v>
      </c>
      <c r="F22" s="72">
        <f t="shared" si="5"/>
        <v>2000</v>
      </c>
      <c r="G22" s="72">
        <f t="shared" si="5"/>
        <v>8276</v>
      </c>
      <c r="H22" s="72">
        <f t="shared" si="5"/>
        <v>725000</v>
      </c>
      <c r="I22" s="72">
        <f t="shared" si="5"/>
        <v>580000</v>
      </c>
      <c r="J22" s="72">
        <f t="shared" si="5"/>
        <v>846000</v>
      </c>
      <c r="K22" s="72">
        <f>SUM(K17:K21)</f>
        <v>65000</v>
      </c>
      <c r="L22" s="72">
        <f>SUM(L17:L21)</f>
        <v>0</v>
      </c>
      <c r="M22" s="72">
        <f>SUM(M17:M21)</f>
        <v>2930276</v>
      </c>
      <c r="N22" s="103"/>
      <c r="O22" s="72"/>
      <c r="P22" s="72"/>
      <c r="Q22" s="103"/>
      <c r="R22" s="103"/>
    </row>
    <row r="23" spans="2:19"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211">
        <f>SUM(C22:L22)</f>
        <v>2930276</v>
      </c>
    </row>
    <row r="24" spans="2:19" s="71" customFormat="1" ht="15.75">
      <c r="B24" s="93" t="s">
        <v>90</v>
      </c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>
        <f>M12-M22+5750</f>
        <v>569522</v>
      </c>
      <c r="N24" s="103"/>
      <c r="O24" s="101"/>
      <c r="P24" s="72"/>
      <c r="Q24" s="103"/>
      <c r="R24" s="103"/>
    </row>
    <row r="25" spans="2:19" ht="15">
      <c r="M25" s="261"/>
      <c r="O25" s="232"/>
    </row>
    <row r="26" spans="2:19" ht="15.75">
      <c r="M26" s="101"/>
      <c r="O26" s="250"/>
    </row>
    <row r="27" spans="2:19" s="94" customFormat="1" ht="16.5" thickBot="1">
      <c r="B27" s="71" t="s">
        <v>91</v>
      </c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1"/>
      <c r="P27" s="104"/>
      <c r="Q27" s="232"/>
      <c r="R27" s="232"/>
    </row>
    <row r="28" spans="2:19" ht="13.5" thickBot="1">
      <c r="B28" s="75" t="s">
        <v>83</v>
      </c>
      <c r="C28" s="76">
        <v>42064</v>
      </c>
      <c r="D28" s="76">
        <v>42095</v>
      </c>
      <c r="E28" s="76">
        <v>42125</v>
      </c>
      <c r="F28" s="76">
        <v>42156</v>
      </c>
      <c r="G28" s="76">
        <v>42186</v>
      </c>
      <c r="H28" s="76">
        <v>42217</v>
      </c>
      <c r="I28" s="76">
        <v>42248</v>
      </c>
      <c r="J28" s="76">
        <v>42278</v>
      </c>
      <c r="K28" s="76">
        <v>42309</v>
      </c>
      <c r="L28" s="291">
        <v>42353</v>
      </c>
      <c r="M28" s="77" t="s">
        <v>318</v>
      </c>
      <c r="O28" s="101"/>
    </row>
    <row r="29" spans="2:19" ht="13.5" thickTop="1">
      <c r="B29" s="79" t="s">
        <v>5</v>
      </c>
      <c r="C29" s="99"/>
      <c r="D29" s="99">
        <f>'BODs Expenses'!D3</f>
        <v>8000</v>
      </c>
      <c r="E29" s="99"/>
      <c r="F29" s="99"/>
      <c r="G29" s="99">
        <f>'BODs Expenses'!D4</f>
        <v>170</v>
      </c>
      <c r="H29" s="99"/>
      <c r="I29" s="99"/>
      <c r="J29" s="218"/>
      <c r="K29" s="218"/>
      <c r="L29" s="218"/>
      <c r="M29" s="80">
        <f>SUM(C29:L29)</f>
        <v>8170</v>
      </c>
    </row>
    <row r="30" spans="2:19">
      <c r="B30" s="82" t="s">
        <v>16</v>
      </c>
      <c r="C30" s="95"/>
      <c r="D30" s="95"/>
      <c r="E30" s="95"/>
      <c r="F30" s="95"/>
      <c r="G30" s="95">
        <f>'BODs Expenses'!G3</f>
        <v>1310</v>
      </c>
      <c r="H30" s="95"/>
      <c r="I30" s="95"/>
      <c r="J30" s="219"/>
      <c r="K30" s="218"/>
      <c r="L30" s="218"/>
      <c r="M30" s="80">
        <f t="shared" ref="M30:M35" si="6">SUM(C30:L30)</f>
        <v>1310</v>
      </c>
    </row>
    <row r="31" spans="2:19">
      <c r="B31" s="97" t="s">
        <v>4</v>
      </c>
      <c r="C31" s="95">
        <f>'BODs Expenses'!J3+'BODs Expenses'!J4+'BODs Expenses'!J5</f>
        <v>3815.1625000000004</v>
      </c>
      <c r="D31" s="95">
        <f>'BODs Expenses'!J6+'BODs Expenses'!J7</f>
        <v>1000</v>
      </c>
      <c r="E31" s="95">
        <f>'BODs Expenses'!J8</f>
        <v>962</v>
      </c>
      <c r="F31" s="95">
        <f>'BODs Expenses'!J9</f>
        <v>401</v>
      </c>
      <c r="G31" s="95">
        <f>'BODs Expenses'!J10+'BODs Expenses'!J11+'BODs Expenses'!J12+'BODs Expenses'!J13+'BODs Expenses'!J14+'BODs Expenses'!J15+'BODs Expenses'!J16</f>
        <v>14028.262499999999</v>
      </c>
      <c r="H31" s="95">
        <f>'BODs Expenses'!J17+'BODs Expenses'!J18</f>
        <v>1287</v>
      </c>
      <c r="I31" s="95"/>
      <c r="J31" s="219">
        <f>'BODs Expenses'!J19+'BODs Expenses'!J20+'BODs Expenses'!J21</f>
        <v>3554.7096000000001</v>
      </c>
      <c r="K31" s="218"/>
      <c r="L31" s="218"/>
      <c r="M31" s="80">
        <f t="shared" si="6"/>
        <v>25048.134599999998</v>
      </c>
    </row>
    <row r="32" spans="2:19" ht="15.75">
      <c r="B32" s="97" t="s">
        <v>8</v>
      </c>
      <c r="C32" s="95"/>
      <c r="D32" s="95">
        <f>'BODs Expenses'!M3+'BODs Expenses'!M4</f>
        <v>1100</v>
      </c>
      <c r="E32" s="95"/>
      <c r="F32" s="95"/>
      <c r="G32" s="95"/>
      <c r="H32" s="95"/>
      <c r="I32" s="95"/>
      <c r="J32" s="219">
        <f>SUM('BODs Expenses'!M5:M6)</f>
        <v>3889</v>
      </c>
      <c r="K32" s="218"/>
      <c r="L32" s="218"/>
      <c r="M32" s="80">
        <f t="shared" si="6"/>
        <v>4989</v>
      </c>
      <c r="P32" s="101"/>
      <c r="Q32" s="250"/>
      <c r="R32" s="250"/>
    </row>
    <row r="33" spans="2:18">
      <c r="B33" s="97" t="s">
        <v>9</v>
      </c>
      <c r="C33" s="95"/>
      <c r="D33" s="95">
        <f>'BODs Expenses'!P3</f>
        <v>2030.5</v>
      </c>
      <c r="E33" s="95"/>
      <c r="F33" s="95"/>
      <c r="G33" s="95"/>
      <c r="H33" s="95">
        <f>'BODs Expenses'!P4</f>
        <v>21451.129999999997</v>
      </c>
      <c r="I33" s="95">
        <f>'BODs Expenses'!P5</f>
        <v>3733.5</v>
      </c>
      <c r="J33" s="219">
        <f>'BODs Expenses'!P6+'BODs Expenses'!P7</f>
        <v>8550</v>
      </c>
      <c r="K33" s="218">
        <f>'BODs Expenses'!P8</f>
        <v>4810.32</v>
      </c>
      <c r="L33" s="218"/>
      <c r="M33" s="80">
        <f t="shared" si="6"/>
        <v>40575.449999999997</v>
      </c>
    </row>
    <row r="34" spans="2:18">
      <c r="B34" s="97" t="s">
        <v>7</v>
      </c>
      <c r="C34" s="95"/>
      <c r="D34" s="95">
        <f>'BODs Expenses'!S3+'BODs Expenses'!S4</f>
        <v>724</v>
      </c>
      <c r="E34" s="95">
        <f>'BODs Expenses'!S5+'BODs Expenses'!S6</f>
        <v>802</v>
      </c>
      <c r="F34" s="95">
        <f>'BODs Expenses'!S7+'BODs Expenses'!S8</f>
        <v>929</v>
      </c>
      <c r="G34" s="95"/>
      <c r="H34" s="95"/>
      <c r="I34" s="95">
        <f>'BODs Expenses'!S9+'BODs Expenses'!S10</f>
        <v>13310.75</v>
      </c>
      <c r="J34" s="219"/>
      <c r="K34" s="218"/>
      <c r="L34" s="218"/>
      <c r="M34" s="80">
        <f t="shared" si="6"/>
        <v>15765.75</v>
      </c>
    </row>
    <row r="35" spans="2:18" ht="13.5" thickBot="1">
      <c r="B35" s="98" t="s">
        <v>6</v>
      </c>
      <c r="C35" s="96"/>
      <c r="D35" s="96"/>
      <c r="E35" s="96"/>
      <c r="F35" s="96"/>
      <c r="G35" s="96"/>
      <c r="H35" s="96"/>
      <c r="I35" s="96">
        <f>'BODs Expenses'!V3</f>
        <v>3569.75</v>
      </c>
      <c r="J35" s="223">
        <f>SUM('BODs Expenses'!V4:V7)</f>
        <v>3108.9575</v>
      </c>
      <c r="K35" s="293"/>
      <c r="L35" s="293"/>
      <c r="M35" s="231">
        <f t="shared" si="6"/>
        <v>6678.7075000000004</v>
      </c>
      <c r="Q35" s="101"/>
      <c r="R35" s="101"/>
    </row>
    <row r="36" spans="2:18" ht="15.75">
      <c r="B36" s="71" t="s">
        <v>94</v>
      </c>
      <c r="C36" s="72">
        <f>SUM(C29:C35)</f>
        <v>3815.1625000000004</v>
      </c>
      <c r="D36" s="72">
        <f t="shared" ref="D36:L36" si="7">SUM(D29:D35)</f>
        <v>12854.5</v>
      </c>
      <c r="E36" s="72">
        <f t="shared" si="7"/>
        <v>1764</v>
      </c>
      <c r="F36" s="72">
        <f t="shared" si="7"/>
        <v>1330</v>
      </c>
      <c r="G36" s="72">
        <f t="shared" si="7"/>
        <v>15508.262499999999</v>
      </c>
      <c r="H36" s="72">
        <f t="shared" si="7"/>
        <v>22738.129999999997</v>
      </c>
      <c r="I36" s="72">
        <f t="shared" si="7"/>
        <v>20614</v>
      </c>
      <c r="J36" s="72">
        <f t="shared" si="7"/>
        <v>19102.667099999999</v>
      </c>
      <c r="K36" s="72">
        <f t="shared" si="7"/>
        <v>4810.32</v>
      </c>
      <c r="L36" s="72">
        <f t="shared" si="7"/>
        <v>0</v>
      </c>
      <c r="M36" s="72">
        <f>SUM(M29:M35)</f>
        <v>102537.04210000001</v>
      </c>
    </row>
    <row r="37" spans="2:18">
      <c r="M37" s="211">
        <f>SUM(C36:L36)</f>
        <v>102537.04209999999</v>
      </c>
    </row>
    <row r="38" spans="2:18" s="71" customFormat="1" ht="15.75">
      <c r="B38" s="71" t="s">
        <v>95</v>
      </c>
      <c r="C38" s="72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2"/>
      <c r="P38" s="103"/>
      <c r="Q38" s="103"/>
      <c r="R38" s="103"/>
    </row>
    <row r="39" spans="2:18" ht="15">
      <c r="B39" s="94" t="s">
        <v>99</v>
      </c>
      <c r="C39" s="232">
        <f>P17</f>
        <v>723224</v>
      </c>
      <c r="D39" s="104"/>
      <c r="E39" s="104"/>
    </row>
    <row r="40" spans="2:18" ht="15">
      <c r="B40" s="287" t="s">
        <v>100</v>
      </c>
      <c r="C40" s="288">
        <f>P20</f>
        <v>21015</v>
      </c>
      <c r="D40" s="104"/>
      <c r="E40" s="104"/>
    </row>
    <row r="41" spans="2:18" ht="15">
      <c r="B41" s="94" t="s">
        <v>102</v>
      </c>
      <c r="C41" s="232">
        <v>10000</v>
      </c>
      <c r="D41" s="104"/>
      <c r="E41" s="104"/>
    </row>
    <row r="42" spans="2:18" ht="15">
      <c r="B42" s="94" t="s">
        <v>242</v>
      </c>
      <c r="C42" s="232">
        <f>21000+9000</f>
        <v>30000</v>
      </c>
      <c r="D42" s="104"/>
      <c r="E42" s="104"/>
    </row>
    <row r="43" spans="2:18" ht="15">
      <c r="B43" s="94" t="s">
        <v>243</v>
      </c>
      <c r="C43" s="232">
        <v>30000</v>
      </c>
      <c r="D43" s="104"/>
      <c r="E43" s="104"/>
    </row>
    <row r="44" spans="2:18" ht="15.75">
      <c r="B44" s="94"/>
      <c r="C44" s="72">
        <f>SUM(C39:C43)</f>
        <v>814239</v>
      </c>
      <c r="D44" s="72">
        <f>M24+S12</f>
        <v>827747.27790000045</v>
      </c>
      <c r="E44" s="210">
        <f>D44-C44</f>
        <v>13508.277900000452</v>
      </c>
      <c r="F44" s="104"/>
      <c r="G44" s="104"/>
      <c r="H44" s="104"/>
      <c r="I44" s="104"/>
      <c r="J44" s="104"/>
      <c r="K44" s="104"/>
      <c r="L44" s="104"/>
    </row>
    <row r="45" spans="2:18">
      <c r="C45" s="102" t="s">
        <v>287</v>
      </c>
      <c r="D45" s="102" t="s">
        <v>11</v>
      </c>
    </row>
    <row r="47" spans="2:18" ht="15.75">
      <c r="B47" s="71" t="s">
        <v>190</v>
      </c>
      <c r="C47" s="103"/>
    </row>
    <row r="48" spans="2:18" ht="15.75">
      <c r="B48" s="71" t="s">
        <v>191</v>
      </c>
      <c r="C48" s="103"/>
      <c r="D48" s="103"/>
      <c r="E48" s="103"/>
    </row>
    <row r="49" spans="2:12" ht="15.75">
      <c r="B49" s="71" t="s">
        <v>286</v>
      </c>
      <c r="C49" s="103"/>
      <c r="D49" s="103"/>
      <c r="E49" s="103"/>
      <c r="F49" s="104"/>
      <c r="G49" s="104"/>
      <c r="H49" s="104"/>
      <c r="I49" s="104"/>
      <c r="J49" s="104"/>
      <c r="K49" s="104"/>
      <c r="L49" s="104"/>
    </row>
    <row r="50" spans="2:12" ht="15.75">
      <c r="B50" s="71" t="s">
        <v>192</v>
      </c>
      <c r="C50" s="103"/>
      <c r="D50" s="103"/>
      <c r="E50" s="103"/>
      <c r="F50" s="104"/>
      <c r="G50" s="104"/>
      <c r="H50" s="104"/>
      <c r="I50" s="104"/>
      <c r="J50" s="104"/>
      <c r="K50" s="104"/>
      <c r="L50" s="104"/>
    </row>
    <row r="51" spans="2:12" ht="15.75">
      <c r="B51" s="289" t="s">
        <v>285</v>
      </c>
      <c r="C51" s="290"/>
      <c r="D51" s="290"/>
      <c r="E51" s="103"/>
      <c r="F51" s="104"/>
      <c r="G51" s="104"/>
      <c r="H51" s="104"/>
      <c r="I51" s="104"/>
      <c r="J51" s="104"/>
      <c r="K51" s="104"/>
      <c r="L51" s="104"/>
    </row>
    <row r="52" spans="2:12" ht="15.75">
      <c r="B52" s="71" t="s">
        <v>309</v>
      </c>
      <c r="C52" s="103"/>
      <c r="D52" s="103"/>
      <c r="E52" s="103"/>
      <c r="F52" s="104"/>
      <c r="G52" s="104"/>
      <c r="H52" s="104"/>
      <c r="I52" s="104"/>
      <c r="J52" s="104"/>
      <c r="K52" s="104"/>
      <c r="L52" s="104"/>
    </row>
    <row r="53" spans="2:12" ht="15.75">
      <c r="B53" s="71" t="s">
        <v>254</v>
      </c>
      <c r="C53" s="103"/>
      <c r="D53" s="103"/>
      <c r="E53" s="103"/>
      <c r="F53" s="104"/>
      <c r="G53" s="104"/>
      <c r="H53" s="104"/>
      <c r="I53" s="104"/>
      <c r="J53" s="104"/>
      <c r="K53" s="104"/>
      <c r="L53" s="104"/>
    </row>
    <row r="54" spans="2:12" ht="15.75">
      <c r="B54" s="275" t="s">
        <v>288</v>
      </c>
      <c r="C54" s="104"/>
      <c r="D54" s="103"/>
      <c r="E54" s="103"/>
      <c r="F54" s="104"/>
      <c r="G54" s="104"/>
      <c r="H54" s="104"/>
      <c r="I54" s="104"/>
      <c r="J54" s="104"/>
      <c r="K54" s="104"/>
      <c r="L54" s="104"/>
    </row>
    <row r="55" spans="2:12" ht="15.75">
      <c r="B55" s="71" t="s">
        <v>310</v>
      </c>
      <c r="C55" s="232"/>
      <c r="D55" s="104"/>
      <c r="E55" s="104"/>
      <c r="F55" s="104"/>
      <c r="G55" s="104"/>
      <c r="H55" s="104"/>
      <c r="I55" s="104"/>
      <c r="J55" s="104"/>
      <c r="K55" s="104"/>
      <c r="L55" s="104"/>
    </row>
    <row r="56" spans="2:12" ht="15">
      <c r="B56" s="94" t="s">
        <v>317</v>
      </c>
      <c r="C56" s="104"/>
      <c r="D56" s="104"/>
      <c r="E56" s="104"/>
      <c r="F56" s="104"/>
      <c r="G56" s="104"/>
      <c r="H56" s="104"/>
      <c r="I56" s="104"/>
      <c r="J56" s="104"/>
      <c r="K56" s="104"/>
      <c r="L56" s="104"/>
    </row>
    <row r="57" spans="2:12" ht="15">
      <c r="B57" s="287" t="s">
        <v>319</v>
      </c>
      <c r="C57" s="295"/>
      <c r="D57" s="296"/>
      <c r="E57" s="288">
        <v>15000</v>
      </c>
      <c r="F57" s="104"/>
      <c r="G57" s="104"/>
      <c r="H57" s="104"/>
      <c r="I57" s="104"/>
      <c r="J57" s="104"/>
      <c r="K57" s="104"/>
      <c r="L57" s="104"/>
    </row>
    <row r="58" spans="2:12" ht="15">
      <c r="B58" s="287" t="s">
        <v>322</v>
      </c>
      <c r="C58" s="295"/>
      <c r="D58" s="297"/>
      <c r="E58" s="288">
        <v>20000</v>
      </c>
    </row>
  </sheetData>
  <pageMargins left="0.7" right="0.7" top="0.75" bottom="0.75" header="0.3" footer="0.3"/>
  <pageSetup paperSize="9" scale="76" orientation="landscape" r:id="rId1"/>
  <ignoredErrors>
    <ignoredError sqref="C12:D12 E12:I12 C22:H22 I20:I21 J32 K12 K36" formulaRange="1"/>
  </ignoredError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45"/>
  <sheetViews>
    <sheetView topLeftCell="A34" workbookViewId="0">
      <selection activeCell="B46" sqref="B46"/>
    </sheetView>
  </sheetViews>
  <sheetFormatPr defaultRowHeight="15"/>
  <cols>
    <col min="1" max="1" width="34.85546875" bestFit="1" customWidth="1"/>
    <col min="2" max="2" width="12.7109375" bestFit="1" customWidth="1"/>
  </cols>
  <sheetData>
    <row r="1" spans="1:2" ht="15.75">
      <c r="A1" s="233" t="s">
        <v>193</v>
      </c>
      <c r="B1" s="234"/>
    </row>
    <row r="2" spans="1:2">
      <c r="A2" s="234" t="s">
        <v>194</v>
      </c>
      <c r="B2" s="235">
        <v>1000</v>
      </c>
    </row>
    <row r="3" spans="1:2">
      <c r="A3" s="234" t="s">
        <v>195</v>
      </c>
      <c r="B3" s="236">
        <v>175</v>
      </c>
    </row>
    <row r="4" spans="1:2">
      <c r="A4" s="234" t="s">
        <v>196</v>
      </c>
      <c r="B4" s="236">
        <v>575</v>
      </c>
    </row>
    <row r="5" spans="1:2">
      <c r="A5" s="234" t="s">
        <v>197</v>
      </c>
      <c r="B5" s="235">
        <v>280</v>
      </c>
    </row>
    <row r="6" spans="1:2">
      <c r="A6" s="234" t="s">
        <v>198</v>
      </c>
      <c r="B6" s="235">
        <v>1800</v>
      </c>
    </row>
    <row r="7" spans="1:2">
      <c r="A7" s="234" t="s">
        <v>199</v>
      </c>
      <c r="B7" s="235">
        <v>1836</v>
      </c>
    </row>
    <row r="8" spans="1:2">
      <c r="A8" s="234" t="s">
        <v>255</v>
      </c>
      <c r="B8" s="235">
        <v>5000</v>
      </c>
    </row>
    <row r="9" spans="1:2">
      <c r="A9" s="234" t="s">
        <v>200</v>
      </c>
      <c r="B9" s="235">
        <v>1537.73</v>
      </c>
    </row>
    <row r="10" spans="1:2">
      <c r="A10" s="234" t="s">
        <v>201</v>
      </c>
      <c r="B10" s="236">
        <v>5524.4</v>
      </c>
    </row>
    <row r="11" spans="1:2">
      <c r="A11" s="237" t="s">
        <v>43</v>
      </c>
      <c r="B11" s="238">
        <f>SUM(B2:B10)</f>
        <v>17728.129999999997</v>
      </c>
    </row>
    <row r="12" spans="1:2">
      <c r="A12" s="50"/>
      <c r="B12" s="234"/>
    </row>
    <row r="13" spans="1:2" ht="15.75">
      <c r="A13" s="233" t="s">
        <v>202</v>
      </c>
      <c r="B13" s="234"/>
    </row>
    <row r="14" spans="1:2">
      <c r="A14" s="234" t="s">
        <v>203</v>
      </c>
      <c r="B14" s="236">
        <v>40</v>
      </c>
    </row>
    <row r="15" spans="1:2">
      <c r="A15" s="234" t="s">
        <v>204</v>
      </c>
      <c r="B15" s="236">
        <v>170</v>
      </c>
    </row>
    <row r="16" spans="1:2">
      <c r="A16" s="237" t="s">
        <v>43</v>
      </c>
      <c r="B16" s="238">
        <f>SUM(B14:B15)</f>
        <v>210</v>
      </c>
    </row>
    <row r="17" spans="1:4">
      <c r="A17" s="237"/>
      <c r="B17" s="238"/>
    </row>
    <row r="18" spans="1:4" ht="15.75">
      <c r="A18" s="233" t="s">
        <v>202</v>
      </c>
      <c r="B18" s="234"/>
    </row>
    <row r="19" spans="1:4">
      <c r="A19" s="256" t="s">
        <v>205</v>
      </c>
      <c r="B19" s="235">
        <v>500</v>
      </c>
    </row>
    <row r="20" spans="1:4">
      <c r="A20" s="239" t="s">
        <v>206</v>
      </c>
      <c r="B20" s="235">
        <v>15</v>
      </c>
      <c r="D20" s="257">
        <v>46935</v>
      </c>
    </row>
    <row r="21" spans="1:4">
      <c r="A21" s="239" t="s">
        <v>207</v>
      </c>
      <c r="B21" s="235">
        <v>28</v>
      </c>
      <c r="D21" s="257">
        <v>38930</v>
      </c>
    </row>
    <row r="22" spans="1:4">
      <c r="A22" s="256" t="s">
        <v>208</v>
      </c>
      <c r="B22" s="235">
        <v>500</v>
      </c>
      <c r="D22" s="257">
        <v>41487</v>
      </c>
    </row>
    <row r="23" spans="1:4">
      <c r="A23" s="239" t="s">
        <v>209</v>
      </c>
      <c r="B23" s="240">
        <v>39</v>
      </c>
      <c r="D23" s="257">
        <v>43313</v>
      </c>
    </row>
    <row r="24" spans="1:4">
      <c r="A24" s="239" t="s">
        <v>209</v>
      </c>
      <c r="B24" s="236">
        <v>56</v>
      </c>
      <c r="D24" s="257">
        <v>39326</v>
      </c>
    </row>
    <row r="25" spans="1:4">
      <c r="A25" s="256" t="s">
        <v>210</v>
      </c>
      <c r="B25" s="236">
        <v>39</v>
      </c>
      <c r="D25" s="257">
        <v>40057</v>
      </c>
    </row>
    <row r="26" spans="1:4">
      <c r="A26" s="239" t="s">
        <v>211</v>
      </c>
      <c r="B26" s="236">
        <v>144</v>
      </c>
      <c r="D26" s="257">
        <v>44075</v>
      </c>
    </row>
    <row r="27" spans="1:4">
      <c r="A27" s="239" t="s">
        <v>212</v>
      </c>
      <c r="B27" s="236">
        <v>15</v>
      </c>
      <c r="D27" s="257">
        <v>47362</v>
      </c>
    </row>
    <row r="28" spans="1:4">
      <c r="A28" s="256" t="s">
        <v>213</v>
      </c>
      <c r="B28" s="236">
        <v>500</v>
      </c>
    </row>
    <row r="29" spans="1:4">
      <c r="A29" s="239" t="s">
        <v>214</v>
      </c>
      <c r="B29" s="236">
        <v>28</v>
      </c>
    </row>
    <row r="30" spans="1:4">
      <c r="A30" s="256" t="s">
        <v>215</v>
      </c>
      <c r="B30" s="236">
        <v>500</v>
      </c>
    </row>
    <row r="31" spans="1:4">
      <c r="A31" s="256" t="s">
        <v>216</v>
      </c>
      <c r="B31" s="236">
        <v>500</v>
      </c>
    </row>
    <row r="32" spans="1:4">
      <c r="A32" s="239" t="s">
        <v>217</v>
      </c>
      <c r="B32" s="235">
        <v>39</v>
      </c>
    </row>
    <row r="33" spans="1:2">
      <c r="A33" s="256" t="s">
        <v>218</v>
      </c>
      <c r="B33" s="235">
        <v>500</v>
      </c>
    </row>
    <row r="34" spans="1:2">
      <c r="A34" s="239" t="s">
        <v>219</v>
      </c>
      <c r="B34" s="235">
        <v>15</v>
      </c>
    </row>
    <row r="35" spans="1:2">
      <c r="A35" s="239" t="s">
        <v>220</v>
      </c>
      <c r="B35" s="235">
        <v>28</v>
      </c>
    </row>
    <row r="36" spans="1:2">
      <c r="A36" s="239" t="s">
        <v>221</v>
      </c>
      <c r="B36" s="235">
        <v>28</v>
      </c>
    </row>
    <row r="37" spans="1:2">
      <c r="A37" s="239" t="s">
        <v>220</v>
      </c>
      <c r="B37" s="236">
        <v>39</v>
      </c>
    </row>
    <row r="38" spans="1:2">
      <c r="A38" s="237" t="s">
        <v>43</v>
      </c>
      <c r="B38" s="238">
        <f>SUM(B19:B37)</f>
        <v>3513</v>
      </c>
    </row>
    <row r="39" spans="1:2">
      <c r="A39" s="50"/>
      <c r="B39" s="234"/>
    </row>
    <row r="40" spans="1:2" ht="18.75">
      <c r="A40" s="49" t="s">
        <v>10</v>
      </c>
      <c r="B40" s="241">
        <f>SUM(B19:B37,B14:B15,B2:B10)</f>
        <v>21451.129999999997</v>
      </c>
    </row>
    <row r="41" spans="1:2">
      <c r="B41" s="242">
        <f>B38+B16+B11</f>
        <v>21451.129999999997</v>
      </c>
    </row>
    <row r="43" spans="1:2">
      <c r="B43" s="259">
        <f>B40+2800</f>
        <v>24251.129999999997</v>
      </c>
    </row>
    <row r="44" spans="1:2">
      <c r="B44" s="259">
        <v>30000</v>
      </c>
    </row>
    <row r="45" spans="1:2">
      <c r="B45" s="259">
        <f>B44-B43</f>
        <v>5748.8700000000026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N18"/>
  <sheetViews>
    <sheetView workbookViewId="0">
      <pane xSplit="4" ySplit="4" topLeftCell="AP5" activePane="bottomRight" state="frozen"/>
      <selection pane="topRight" activeCell="E1" sqref="E1"/>
      <selection pane="bottomLeft" activeCell="A5" sqref="A5"/>
      <selection pane="bottomRight" activeCell="AZ24" sqref="AZ24"/>
    </sheetView>
  </sheetViews>
  <sheetFormatPr defaultRowHeight="15"/>
  <cols>
    <col min="1" max="1" width="11" style="208" customWidth="1"/>
    <col min="2" max="2" width="22.7109375" style="208" bestFit="1" customWidth="1"/>
    <col min="3" max="3" width="10.42578125" style="208" bestFit="1" customWidth="1"/>
    <col min="4" max="4" width="12.28515625" style="208" bestFit="1" customWidth="1"/>
    <col min="5" max="9" width="3.85546875" style="208" bestFit="1" customWidth="1"/>
    <col min="10" max="10" width="4" style="208" bestFit="1" customWidth="1"/>
    <col min="11" max="13" width="3.85546875" style="208" bestFit="1" customWidth="1"/>
    <col min="14" max="35" width="4.85546875" style="208" bestFit="1" customWidth="1"/>
    <col min="36" max="39" width="4" style="208" bestFit="1" customWidth="1"/>
    <col min="40" max="41" width="3.85546875" style="208" bestFit="1" customWidth="1"/>
    <col min="42" max="44" width="4" style="208" bestFit="1" customWidth="1"/>
    <col min="45" max="65" width="4.85546875" style="208" bestFit="1" customWidth="1"/>
    <col min="66" max="16384" width="9.140625" style="208"/>
  </cols>
  <sheetData>
    <row r="1" spans="1:66" s="196" customFormat="1" ht="18.75">
      <c r="A1" s="195" t="s">
        <v>129</v>
      </c>
    </row>
    <row r="2" spans="1:66" s="196" customFormat="1" ht="18.75"/>
    <row r="3" spans="1:66" s="197" customFormat="1" ht="18.75">
      <c r="A3" s="320" t="s">
        <v>130</v>
      </c>
      <c r="B3" s="320" t="s">
        <v>131</v>
      </c>
      <c r="C3" s="320" t="s">
        <v>132</v>
      </c>
      <c r="D3" s="320" t="s">
        <v>133</v>
      </c>
      <c r="E3" s="317" t="s">
        <v>134</v>
      </c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  <c r="U3" s="318"/>
      <c r="V3" s="318"/>
      <c r="W3" s="318"/>
      <c r="X3" s="318"/>
      <c r="Y3" s="318"/>
      <c r="Z3" s="318"/>
      <c r="AA3" s="318"/>
      <c r="AB3" s="318"/>
      <c r="AC3" s="318"/>
      <c r="AD3" s="318"/>
      <c r="AE3" s="318"/>
      <c r="AF3" s="318"/>
      <c r="AG3" s="318"/>
      <c r="AH3" s="318"/>
      <c r="AI3" s="319"/>
      <c r="AJ3" s="317" t="s">
        <v>135</v>
      </c>
      <c r="AK3" s="318"/>
      <c r="AL3" s="318"/>
      <c r="AM3" s="318"/>
      <c r="AN3" s="318"/>
      <c r="AO3" s="318"/>
      <c r="AP3" s="318"/>
      <c r="AQ3" s="318"/>
      <c r="AR3" s="318"/>
      <c r="AS3" s="318"/>
      <c r="AT3" s="318"/>
      <c r="AU3" s="318"/>
      <c r="AV3" s="318"/>
      <c r="AW3" s="318"/>
      <c r="AX3" s="318"/>
      <c r="AY3" s="318"/>
      <c r="AZ3" s="318"/>
      <c r="BA3" s="318"/>
      <c r="BB3" s="318"/>
      <c r="BC3" s="318"/>
      <c r="BD3" s="318"/>
      <c r="BE3" s="318"/>
      <c r="BF3" s="318"/>
      <c r="BG3" s="318"/>
      <c r="BH3" s="318"/>
      <c r="BI3" s="318"/>
      <c r="BJ3" s="318"/>
      <c r="BK3" s="318"/>
      <c r="BL3" s="318"/>
      <c r="BM3" s="319"/>
      <c r="BN3" s="197" t="s">
        <v>33</v>
      </c>
    </row>
    <row r="4" spans="1:66" s="43" customFormat="1">
      <c r="A4" s="320"/>
      <c r="B4" s="320"/>
      <c r="C4" s="320"/>
      <c r="D4" s="320"/>
      <c r="E4" s="198">
        <v>42217</v>
      </c>
      <c r="F4" s="198">
        <v>42218</v>
      </c>
      <c r="G4" s="199">
        <v>42219</v>
      </c>
      <c r="H4" s="199">
        <v>42220</v>
      </c>
      <c r="I4" s="199">
        <v>42221</v>
      </c>
      <c r="J4" s="199">
        <v>42222</v>
      </c>
      <c r="K4" s="199">
        <v>42223</v>
      </c>
      <c r="L4" s="198">
        <v>42224</v>
      </c>
      <c r="M4" s="198">
        <v>42225</v>
      </c>
      <c r="N4" s="199">
        <v>42226</v>
      </c>
      <c r="O4" s="199">
        <v>42227</v>
      </c>
      <c r="P4" s="199">
        <v>42228</v>
      </c>
      <c r="Q4" s="199">
        <v>42229</v>
      </c>
      <c r="R4" s="199">
        <v>42230</v>
      </c>
      <c r="S4" s="198">
        <v>42231</v>
      </c>
      <c r="T4" s="198">
        <v>42232</v>
      </c>
      <c r="U4" s="200">
        <v>42233</v>
      </c>
      <c r="V4" s="200">
        <v>42234</v>
      </c>
      <c r="W4" s="199">
        <v>42235</v>
      </c>
      <c r="X4" s="199">
        <v>42236</v>
      </c>
      <c r="Y4" s="201">
        <v>42237</v>
      </c>
      <c r="Z4" s="198">
        <v>42238</v>
      </c>
      <c r="AA4" s="198">
        <v>42239</v>
      </c>
      <c r="AB4" s="200">
        <v>42240</v>
      </c>
      <c r="AC4" s="199">
        <v>42241</v>
      </c>
      <c r="AD4" s="199">
        <v>42242</v>
      </c>
      <c r="AE4" s="199">
        <v>42243</v>
      </c>
      <c r="AF4" s="199">
        <v>42244</v>
      </c>
      <c r="AG4" s="198">
        <v>42245</v>
      </c>
      <c r="AH4" s="198">
        <v>42246</v>
      </c>
      <c r="AI4" s="201">
        <v>42247</v>
      </c>
      <c r="AJ4" s="199">
        <v>42248</v>
      </c>
      <c r="AK4" s="199">
        <v>42249</v>
      </c>
      <c r="AL4" s="199">
        <v>42250</v>
      </c>
      <c r="AM4" s="199">
        <v>42251</v>
      </c>
      <c r="AN4" s="198">
        <v>42252</v>
      </c>
      <c r="AO4" s="198">
        <v>42253</v>
      </c>
      <c r="AP4" s="199">
        <v>42254</v>
      </c>
      <c r="AQ4" s="199">
        <v>42255</v>
      </c>
      <c r="AR4" s="199">
        <v>42256</v>
      </c>
      <c r="AS4" s="199">
        <v>42257</v>
      </c>
      <c r="AT4" s="199">
        <v>42258</v>
      </c>
      <c r="AU4" s="198">
        <v>42259</v>
      </c>
      <c r="AV4" s="198">
        <v>42260</v>
      </c>
      <c r="AW4" s="199">
        <v>42261</v>
      </c>
      <c r="AX4" s="199">
        <v>42262</v>
      </c>
      <c r="AY4" s="199">
        <v>42263</v>
      </c>
      <c r="AZ4" s="199">
        <v>42264</v>
      </c>
      <c r="BA4" s="199">
        <v>42265</v>
      </c>
      <c r="BB4" s="198">
        <v>42266</v>
      </c>
      <c r="BC4" s="198">
        <v>42267</v>
      </c>
      <c r="BD4" s="199">
        <v>42268</v>
      </c>
      <c r="BE4" s="199">
        <v>42269</v>
      </c>
      <c r="BF4" s="199">
        <v>42270</v>
      </c>
      <c r="BG4" s="199">
        <v>42271</v>
      </c>
      <c r="BH4" s="199">
        <v>42272</v>
      </c>
      <c r="BI4" s="198">
        <v>42273</v>
      </c>
      <c r="BJ4" s="198">
        <v>42274</v>
      </c>
      <c r="BK4" s="199">
        <v>42275</v>
      </c>
      <c r="BL4" s="199">
        <v>42276</v>
      </c>
      <c r="BM4" s="199">
        <v>42277</v>
      </c>
    </row>
    <row r="5" spans="1:66">
      <c r="A5" s="202" t="s">
        <v>136</v>
      </c>
      <c r="B5" s="203" t="s">
        <v>137</v>
      </c>
      <c r="C5" s="204">
        <v>42216</v>
      </c>
      <c r="D5" s="204" t="s">
        <v>138</v>
      </c>
      <c r="E5" s="205"/>
      <c r="F5" s="205"/>
      <c r="G5" s="206">
        <v>150</v>
      </c>
      <c r="H5" s="206">
        <v>150</v>
      </c>
      <c r="I5" s="206">
        <v>150</v>
      </c>
      <c r="J5" s="206">
        <v>150</v>
      </c>
      <c r="K5" s="206">
        <v>150</v>
      </c>
      <c r="L5" s="205">
        <v>150</v>
      </c>
      <c r="M5" s="205"/>
      <c r="N5" s="206">
        <v>150</v>
      </c>
      <c r="O5" s="206">
        <v>150</v>
      </c>
      <c r="P5" s="206">
        <v>150</v>
      </c>
      <c r="Q5" s="206">
        <v>150</v>
      </c>
      <c r="R5" s="206">
        <v>150</v>
      </c>
      <c r="S5" s="205">
        <v>150</v>
      </c>
      <c r="T5" s="205"/>
      <c r="U5" s="56" t="s">
        <v>58</v>
      </c>
      <c r="V5" s="56" t="s">
        <v>58</v>
      </c>
      <c r="W5" s="56" t="s">
        <v>58</v>
      </c>
      <c r="X5" s="206">
        <v>150</v>
      </c>
      <c r="Y5" s="207">
        <v>300</v>
      </c>
      <c r="Z5" s="205"/>
      <c r="AA5" s="205">
        <v>150</v>
      </c>
      <c r="AB5" s="56" t="s">
        <v>58</v>
      </c>
      <c r="AC5" s="206">
        <v>15</v>
      </c>
      <c r="AD5" s="206">
        <v>150</v>
      </c>
      <c r="AE5" s="56" t="s">
        <v>58</v>
      </c>
      <c r="AF5" s="56" t="s">
        <v>58</v>
      </c>
      <c r="AG5" s="205" t="s">
        <v>58</v>
      </c>
      <c r="AH5" s="205">
        <v>150</v>
      </c>
      <c r="AI5" s="207">
        <v>300</v>
      </c>
      <c r="AJ5" s="56" t="s">
        <v>58</v>
      </c>
      <c r="AK5" s="56" t="s">
        <v>58</v>
      </c>
      <c r="AL5" s="206">
        <v>150</v>
      </c>
      <c r="AM5" s="56" t="s">
        <v>58</v>
      </c>
      <c r="AN5" s="205">
        <v>150</v>
      </c>
      <c r="AO5" s="205"/>
      <c r="AP5" s="56" t="s">
        <v>58</v>
      </c>
      <c r="AQ5" s="206">
        <v>150</v>
      </c>
      <c r="AR5" s="56" t="s">
        <v>58</v>
      </c>
      <c r="AS5" s="206">
        <v>150</v>
      </c>
      <c r="AT5" s="206">
        <v>150</v>
      </c>
      <c r="AU5" s="205">
        <v>150</v>
      </c>
      <c r="AV5" s="205"/>
      <c r="AW5" s="56" t="s">
        <v>58</v>
      </c>
      <c r="AX5" s="206">
        <v>150</v>
      </c>
      <c r="AY5" s="206">
        <v>150</v>
      </c>
      <c r="AZ5" s="56" t="s">
        <v>58</v>
      </c>
      <c r="BA5" s="56" t="s">
        <v>58</v>
      </c>
      <c r="BB5" s="205">
        <v>150</v>
      </c>
      <c r="BC5" s="205">
        <v>150</v>
      </c>
      <c r="BD5" s="206" t="s">
        <v>58</v>
      </c>
      <c r="BE5" s="206" t="s">
        <v>58</v>
      </c>
      <c r="BF5" s="206" t="s">
        <v>58</v>
      </c>
      <c r="BG5" s="206">
        <v>150</v>
      </c>
      <c r="BH5" s="206">
        <v>300</v>
      </c>
      <c r="BI5" s="205">
        <v>150</v>
      </c>
      <c r="BJ5" s="205"/>
      <c r="BK5" s="206" t="s">
        <v>58</v>
      </c>
      <c r="BL5" s="206">
        <v>150</v>
      </c>
      <c r="BM5" s="206" t="s">
        <v>58</v>
      </c>
      <c r="BN5" s="208">
        <f>SUM(E5:BM5)</f>
        <v>5265</v>
      </c>
    </row>
    <row r="6" spans="1:66">
      <c r="A6" s="202" t="s">
        <v>139</v>
      </c>
      <c r="B6" s="209" t="s">
        <v>140</v>
      </c>
      <c r="C6" s="204">
        <v>42231</v>
      </c>
      <c r="D6" s="204" t="s">
        <v>141</v>
      </c>
      <c r="E6" s="205"/>
      <c r="F6" s="205"/>
      <c r="G6" s="206"/>
      <c r="H6" s="206"/>
      <c r="I6" s="206"/>
      <c r="J6" s="206"/>
      <c r="K6" s="206"/>
      <c r="L6" s="205"/>
      <c r="M6" s="205"/>
      <c r="N6" s="206"/>
      <c r="O6" s="206"/>
      <c r="P6" s="206"/>
      <c r="Q6" s="206"/>
      <c r="R6" s="206"/>
      <c r="S6" s="205"/>
      <c r="T6" s="205"/>
      <c r="U6" s="56"/>
      <c r="V6" s="56"/>
      <c r="W6" s="206"/>
      <c r="X6" s="206"/>
      <c r="Y6" s="207"/>
      <c r="Z6" s="205"/>
      <c r="AA6" s="205"/>
      <c r="AB6" s="56"/>
      <c r="AC6" s="206"/>
      <c r="AD6" s="206"/>
      <c r="AE6" s="206"/>
      <c r="AF6" s="206"/>
      <c r="AG6" s="205"/>
      <c r="AH6" s="205"/>
      <c r="AI6" s="207"/>
      <c r="AJ6" s="206"/>
      <c r="AK6" s="206"/>
      <c r="AL6" s="206"/>
      <c r="AM6" s="206"/>
      <c r="AN6" s="205"/>
      <c r="AO6" s="205"/>
      <c r="AP6" s="206"/>
      <c r="AQ6" s="206"/>
      <c r="AR6" s="206"/>
      <c r="AS6" s="206"/>
      <c r="AT6" s="206"/>
      <c r="AU6" s="205"/>
      <c r="AV6" s="205"/>
      <c r="AW6" s="206"/>
      <c r="AX6" s="206"/>
      <c r="AY6" s="206"/>
      <c r="AZ6" s="206"/>
      <c r="BA6" s="206"/>
      <c r="BB6" s="205"/>
      <c r="BC6" s="205"/>
      <c r="BD6" s="206"/>
      <c r="BE6" s="206"/>
      <c r="BF6" s="206"/>
      <c r="BG6" s="206"/>
      <c r="BH6" s="206"/>
      <c r="BI6" s="205"/>
      <c r="BJ6" s="205"/>
      <c r="BK6" s="206"/>
      <c r="BL6" s="206"/>
      <c r="BM6" s="206"/>
    </row>
    <row r="7" spans="1:66">
      <c r="A7" s="202" t="s">
        <v>142</v>
      </c>
      <c r="B7" s="209" t="s">
        <v>143</v>
      </c>
      <c r="C7" s="204">
        <v>42216</v>
      </c>
      <c r="D7" s="204" t="s">
        <v>144</v>
      </c>
      <c r="E7" s="205"/>
      <c r="F7" s="205"/>
      <c r="G7" s="206"/>
      <c r="H7" s="206"/>
      <c r="I7" s="206"/>
      <c r="J7" s="206"/>
      <c r="K7" s="206"/>
      <c r="L7" s="205"/>
      <c r="M7" s="205"/>
      <c r="N7" s="206"/>
      <c r="O7" s="206"/>
      <c r="P7" s="206"/>
      <c r="Q7" s="206"/>
      <c r="R7" s="206"/>
      <c r="S7" s="205"/>
      <c r="T7" s="205"/>
      <c r="U7" s="56"/>
      <c r="V7" s="56"/>
      <c r="W7" s="206"/>
      <c r="X7" s="206"/>
      <c r="Y7" s="207"/>
      <c r="Z7" s="205"/>
      <c r="AA7" s="205"/>
      <c r="AB7" s="56"/>
      <c r="AC7" s="206"/>
      <c r="AD7" s="206"/>
      <c r="AE7" s="206"/>
      <c r="AF7" s="206"/>
      <c r="AG7" s="205"/>
      <c r="AH7" s="205"/>
      <c r="AI7" s="207"/>
      <c r="AJ7" s="206"/>
      <c r="AK7" s="206"/>
      <c r="AL7" s="206"/>
      <c r="AM7" s="206"/>
      <c r="AN7" s="205"/>
      <c r="AO7" s="205"/>
      <c r="AP7" s="206"/>
      <c r="AQ7" s="206"/>
      <c r="AR7" s="206"/>
      <c r="AS7" s="206"/>
      <c r="AT7" s="206"/>
      <c r="AU7" s="205"/>
      <c r="AV7" s="205"/>
      <c r="AW7" s="206"/>
      <c r="AX7" s="206"/>
      <c r="AY7" s="206"/>
      <c r="AZ7" s="206"/>
      <c r="BA7" s="206"/>
      <c r="BB7" s="205"/>
      <c r="BC7" s="205"/>
      <c r="BD7" s="206"/>
      <c r="BE7" s="206"/>
      <c r="BF7" s="206"/>
      <c r="BG7" s="206"/>
      <c r="BH7" s="206"/>
      <c r="BI7" s="205"/>
      <c r="BJ7" s="205"/>
      <c r="BK7" s="206"/>
      <c r="BL7" s="206"/>
      <c r="BM7" s="206"/>
    </row>
    <row r="8" spans="1:66">
      <c r="A8" s="202" t="s">
        <v>145</v>
      </c>
      <c r="B8" s="209" t="s">
        <v>146</v>
      </c>
      <c r="C8" s="204">
        <v>42231</v>
      </c>
      <c r="D8" s="204" t="s">
        <v>144</v>
      </c>
      <c r="E8" s="205"/>
      <c r="F8" s="205"/>
      <c r="G8" s="206"/>
      <c r="H8" s="206"/>
      <c r="I8" s="206"/>
      <c r="J8" s="206"/>
      <c r="K8" s="206"/>
      <c r="L8" s="205"/>
      <c r="M8" s="205"/>
      <c r="N8" s="206"/>
      <c r="O8" s="206"/>
      <c r="P8" s="206"/>
      <c r="Q8" s="206"/>
      <c r="R8" s="206"/>
      <c r="S8" s="205"/>
      <c r="T8" s="205"/>
      <c r="U8" s="56"/>
      <c r="V8" s="56"/>
      <c r="W8" s="206"/>
      <c r="X8" s="206"/>
      <c r="Y8" s="207"/>
      <c r="Z8" s="205"/>
      <c r="AA8" s="205"/>
      <c r="AB8" s="56"/>
      <c r="AC8" s="206"/>
      <c r="AD8" s="206"/>
      <c r="AE8" s="206"/>
      <c r="AF8" s="206"/>
      <c r="AG8" s="205"/>
      <c r="AH8" s="205"/>
      <c r="AI8" s="207"/>
      <c r="AJ8" s="206"/>
      <c r="AK8" s="206"/>
      <c r="AL8" s="206"/>
      <c r="AM8" s="206"/>
      <c r="AN8" s="205"/>
      <c r="AO8" s="205"/>
      <c r="AP8" s="206"/>
      <c r="AQ8" s="206"/>
      <c r="AR8" s="206"/>
      <c r="AS8" s="206"/>
      <c r="AT8" s="206"/>
      <c r="AU8" s="205"/>
      <c r="AV8" s="205"/>
      <c r="AW8" s="206"/>
      <c r="AX8" s="206"/>
      <c r="AY8" s="206"/>
      <c r="AZ8" s="206"/>
      <c r="BA8" s="206"/>
      <c r="BB8" s="205"/>
      <c r="BC8" s="205"/>
      <c r="BD8" s="206"/>
      <c r="BE8" s="206"/>
      <c r="BF8" s="206"/>
      <c r="BG8" s="206"/>
      <c r="BH8" s="206"/>
      <c r="BI8" s="205"/>
      <c r="BJ8" s="205"/>
      <c r="BK8" s="206"/>
      <c r="BL8" s="206"/>
      <c r="BM8" s="206"/>
    </row>
    <row r="9" spans="1:66">
      <c r="A9" s="202" t="s">
        <v>147</v>
      </c>
      <c r="B9" s="209" t="s">
        <v>148</v>
      </c>
      <c r="C9" s="204">
        <v>42231</v>
      </c>
      <c r="D9" s="204" t="s">
        <v>144</v>
      </c>
      <c r="E9" s="205"/>
      <c r="F9" s="205"/>
      <c r="G9" s="206"/>
      <c r="H9" s="206"/>
      <c r="I9" s="206"/>
      <c r="J9" s="206"/>
      <c r="K9" s="206"/>
      <c r="L9" s="205"/>
      <c r="M9" s="205"/>
      <c r="N9" s="206"/>
      <c r="O9" s="206"/>
      <c r="P9" s="206"/>
      <c r="Q9" s="206"/>
      <c r="R9" s="206"/>
      <c r="S9" s="205"/>
      <c r="T9" s="205"/>
      <c r="U9" s="56"/>
      <c r="V9" s="56"/>
      <c r="W9" s="206"/>
      <c r="X9" s="206"/>
      <c r="Y9" s="207"/>
      <c r="Z9" s="205"/>
      <c r="AA9" s="205"/>
      <c r="AB9" s="56"/>
      <c r="AC9" s="206"/>
      <c r="AD9" s="206"/>
      <c r="AE9" s="206"/>
      <c r="AF9" s="206"/>
      <c r="AG9" s="205"/>
      <c r="AH9" s="205"/>
      <c r="AI9" s="207"/>
      <c r="AJ9" s="206"/>
      <c r="AK9" s="206"/>
      <c r="AL9" s="206"/>
      <c r="AM9" s="206"/>
      <c r="AN9" s="205"/>
      <c r="AO9" s="205"/>
      <c r="AP9" s="206"/>
      <c r="AQ9" s="206"/>
      <c r="AR9" s="206"/>
      <c r="AS9" s="206"/>
      <c r="AT9" s="206"/>
      <c r="AU9" s="205"/>
      <c r="AV9" s="205"/>
      <c r="AW9" s="206"/>
      <c r="AX9" s="206"/>
      <c r="AY9" s="206"/>
      <c r="AZ9" s="206"/>
      <c r="BA9" s="206"/>
      <c r="BB9" s="205"/>
      <c r="BC9" s="205"/>
      <c r="BD9" s="206"/>
      <c r="BE9" s="206"/>
      <c r="BF9" s="206"/>
      <c r="BG9" s="206"/>
      <c r="BH9" s="206"/>
      <c r="BI9" s="205"/>
      <c r="BJ9" s="205"/>
      <c r="BK9" s="206"/>
      <c r="BL9" s="206"/>
      <c r="BM9" s="206"/>
    </row>
    <row r="10" spans="1:66">
      <c r="A10" s="202" t="s">
        <v>149</v>
      </c>
      <c r="B10" s="209" t="s">
        <v>150</v>
      </c>
      <c r="C10" s="204">
        <v>42236</v>
      </c>
      <c r="D10" s="204" t="s">
        <v>144</v>
      </c>
      <c r="E10" s="205"/>
      <c r="F10" s="205"/>
      <c r="G10" s="206"/>
      <c r="H10" s="206"/>
      <c r="I10" s="206"/>
      <c r="J10" s="206"/>
      <c r="K10" s="206"/>
      <c r="L10" s="205"/>
      <c r="M10" s="205"/>
      <c r="N10" s="206"/>
      <c r="O10" s="206"/>
      <c r="P10" s="206"/>
      <c r="Q10" s="206"/>
      <c r="R10" s="206"/>
      <c r="S10" s="205"/>
      <c r="T10" s="205"/>
      <c r="U10" s="56"/>
      <c r="V10" s="56"/>
      <c r="W10" s="206"/>
      <c r="X10" s="206"/>
      <c r="Y10" s="207"/>
      <c r="Z10" s="205"/>
      <c r="AA10" s="205"/>
      <c r="AB10" s="56"/>
      <c r="AC10" s="206"/>
      <c r="AD10" s="206"/>
      <c r="AE10" s="206"/>
      <c r="AF10" s="206"/>
      <c r="AG10" s="205"/>
      <c r="AH10" s="205"/>
      <c r="AI10" s="207"/>
      <c r="AJ10" s="206"/>
      <c r="AK10" s="206"/>
      <c r="AL10" s="206"/>
      <c r="AM10" s="206"/>
      <c r="AN10" s="205"/>
      <c r="AO10" s="205"/>
      <c r="AP10" s="206"/>
      <c r="AQ10" s="206"/>
      <c r="AR10" s="206"/>
      <c r="AS10" s="206"/>
      <c r="AT10" s="206"/>
      <c r="AU10" s="205"/>
      <c r="AV10" s="205"/>
      <c r="AW10" s="206"/>
      <c r="AX10" s="206"/>
      <c r="AY10" s="206"/>
      <c r="AZ10" s="206"/>
      <c r="BA10" s="206"/>
      <c r="BB10" s="205"/>
      <c r="BC10" s="205"/>
      <c r="BD10" s="206"/>
      <c r="BE10" s="206"/>
      <c r="BF10" s="206"/>
      <c r="BG10" s="206"/>
      <c r="BH10" s="206"/>
      <c r="BI10" s="205"/>
      <c r="BJ10" s="205"/>
      <c r="BK10" s="206"/>
      <c r="BL10" s="206"/>
      <c r="BM10" s="206"/>
    </row>
    <row r="11" spans="1:66">
      <c r="A11" s="202" t="s">
        <v>151</v>
      </c>
      <c r="B11" s="209" t="s">
        <v>152</v>
      </c>
      <c r="C11" s="204">
        <v>42239</v>
      </c>
      <c r="D11" s="204" t="s">
        <v>144</v>
      </c>
      <c r="E11" s="205"/>
      <c r="F11" s="205"/>
      <c r="G11" s="206"/>
      <c r="H11" s="206"/>
      <c r="I11" s="206"/>
      <c r="J11" s="206"/>
      <c r="K11" s="206"/>
      <c r="L11" s="205"/>
      <c r="M11" s="205"/>
      <c r="N11" s="206"/>
      <c r="O11" s="206"/>
      <c r="P11" s="206"/>
      <c r="Q11" s="206"/>
      <c r="R11" s="206"/>
      <c r="S11" s="205"/>
      <c r="T11" s="205"/>
      <c r="U11" s="56"/>
      <c r="V11" s="56"/>
      <c r="W11" s="206"/>
      <c r="X11" s="206"/>
      <c r="Y11" s="207"/>
      <c r="Z11" s="205"/>
      <c r="AA11" s="205"/>
      <c r="AB11" s="56"/>
      <c r="AC11" s="206"/>
      <c r="AD11" s="206"/>
      <c r="AE11" s="206"/>
      <c r="AF11" s="206"/>
      <c r="AG11" s="205"/>
      <c r="AH11" s="205"/>
      <c r="AI11" s="207"/>
      <c r="AJ11" s="206"/>
      <c r="AK11" s="206"/>
      <c r="AL11" s="206"/>
      <c r="AM11" s="206"/>
      <c r="AN11" s="205"/>
      <c r="AO11" s="205"/>
      <c r="AP11" s="206"/>
      <c r="AQ11" s="206"/>
      <c r="AR11" s="206"/>
      <c r="AS11" s="206"/>
      <c r="AT11" s="206"/>
      <c r="AU11" s="205"/>
      <c r="AV11" s="205"/>
      <c r="AW11" s="206"/>
      <c r="AX11" s="206"/>
      <c r="AY11" s="206"/>
      <c r="AZ11" s="206"/>
      <c r="BA11" s="206"/>
      <c r="BB11" s="205"/>
      <c r="BC11" s="205"/>
      <c r="BD11" s="206"/>
      <c r="BE11" s="206"/>
      <c r="BF11" s="206"/>
      <c r="BG11" s="206"/>
      <c r="BH11" s="206"/>
      <c r="BI11" s="205"/>
      <c r="BJ11" s="205"/>
      <c r="BK11" s="206"/>
      <c r="BL11" s="206"/>
      <c r="BM11" s="206"/>
    </row>
    <row r="12" spans="1:66">
      <c r="A12" s="202" t="s">
        <v>153</v>
      </c>
      <c r="B12" s="209" t="s">
        <v>154</v>
      </c>
      <c r="C12" s="204">
        <v>42246</v>
      </c>
      <c r="D12" s="204" t="s">
        <v>144</v>
      </c>
      <c r="E12" s="205"/>
      <c r="F12" s="205"/>
      <c r="G12" s="206"/>
      <c r="H12" s="206"/>
      <c r="I12" s="206"/>
      <c r="J12" s="206"/>
      <c r="K12" s="206"/>
      <c r="L12" s="205"/>
      <c r="M12" s="205"/>
      <c r="N12" s="206"/>
      <c r="O12" s="206"/>
      <c r="P12" s="206"/>
      <c r="Q12" s="206"/>
      <c r="R12" s="206"/>
      <c r="S12" s="205"/>
      <c r="T12" s="205"/>
      <c r="U12" s="56"/>
      <c r="V12" s="56"/>
      <c r="W12" s="206"/>
      <c r="X12" s="206"/>
      <c r="Y12" s="207"/>
      <c r="Z12" s="205"/>
      <c r="AA12" s="205"/>
      <c r="AB12" s="56"/>
      <c r="AC12" s="206"/>
      <c r="AD12" s="206"/>
      <c r="AE12" s="206"/>
      <c r="AF12" s="206"/>
      <c r="AG12" s="205"/>
      <c r="AH12" s="205"/>
      <c r="AI12" s="207"/>
      <c r="AJ12" s="206"/>
      <c r="AK12" s="206"/>
      <c r="AL12" s="206"/>
      <c r="AM12" s="206"/>
      <c r="AN12" s="205"/>
      <c r="AO12" s="205"/>
      <c r="AP12" s="206"/>
      <c r="AQ12" s="206"/>
      <c r="AR12" s="206"/>
      <c r="AS12" s="206"/>
      <c r="AT12" s="206"/>
      <c r="AU12" s="205"/>
      <c r="AV12" s="205"/>
      <c r="AW12" s="206"/>
      <c r="AX12" s="206"/>
      <c r="AY12" s="206"/>
      <c r="AZ12" s="206"/>
      <c r="BA12" s="206"/>
      <c r="BB12" s="205"/>
      <c r="BC12" s="205"/>
      <c r="BD12" s="206"/>
      <c r="BE12" s="206"/>
      <c r="BF12" s="206"/>
      <c r="BG12" s="206"/>
      <c r="BH12" s="206"/>
      <c r="BI12" s="205"/>
      <c r="BJ12" s="205"/>
      <c r="BK12" s="206"/>
      <c r="BL12" s="206"/>
      <c r="BM12" s="206"/>
    </row>
    <row r="13" spans="1:66">
      <c r="A13" s="202" t="s">
        <v>155</v>
      </c>
      <c r="B13" s="209" t="s">
        <v>156</v>
      </c>
      <c r="C13" s="204">
        <v>42246</v>
      </c>
      <c r="D13" s="204" t="s">
        <v>144</v>
      </c>
      <c r="E13" s="205"/>
      <c r="F13" s="205"/>
      <c r="G13" s="206"/>
      <c r="H13" s="206"/>
      <c r="I13" s="206"/>
      <c r="J13" s="206"/>
      <c r="K13" s="206"/>
      <c r="L13" s="205"/>
      <c r="M13" s="205"/>
      <c r="N13" s="206"/>
      <c r="O13" s="206"/>
      <c r="P13" s="206"/>
      <c r="Q13" s="206"/>
      <c r="R13" s="206"/>
      <c r="S13" s="205"/>
      <c r="T13" s="205"/>
      <c r="U13" s="56"/>
      <c r="V13" s="56"/>
      <c r="W13" s="206"/>
      <c r="X13" s="206"/>
      <c r="Y13" s="207"/>
      <c r="Z13" s="205"/>
      <c r="AA13" s="205"/>
      <c r="AB13" s="56"/>
      <c r="AC13" s="206"/>
      <c r="AD13" s="206"/>
      <c r="AE13" s="206"/>
      <c r="AF13" s="206"/>
      <c r="AG13" s="205"/>
      <c r="AH13" s="205"/>
      <c r="AI13" s="207"/>
      <c r="AJ13" s="206"/>
      <c r="AK13" s="206"/>
      <c r="AL13" s="206"/>
      <c r="AM13" s="206"/>
      <c r="AN13" s="205"/>
      <c r="AO13" s="205"/>
      <c r="AP13" s="206"/>
      <c r="AQ13" s="206"/>
      <c r="AR13" s="206"/>
      <c r="AS13" s="206"/>
      <c r="AT13" s="206"/>
      <c r="AU13" s="205"/>
      <c r="AV13" s="205"/>
      <c r="AW13" s="206"/>
      <c r="AX13" s="206"/>
      <c r="AY13" s="206"/>
      <c r="AZ13" s="206"/>
      <c r="BA13" s="206"/>
      <c r="BB13" s="205"/>
      <c r="BC13" s="205"/>
      <c r="BD13" s="206"/>
      <c r="BE13" s="206"/>
      <c r="BF13" s="206"/>
      <c r="BG13" s="206"/>
      <c r="BH13" s="206"/>
      <c r="BI13" s="205"/>
      <c r="BJ13" s="205"/>
      <c r="BK13" s="206"/>
      <c r="BL13" s="206"/>
      <c r="BM13" s="206"/>
    </row>
    <row r="14" spans="1:66">
      <c r="A14" s="202" t="s">
        <v>157</v>
      </c>
      <c r="B14" s="209" t="s">
        <v>158</v>
      </c>
      <c r="C14" s="204">
        <v>42246</v>
      </c>
      <c r="D14" s="204" t="s">
        <v>144</v>
      </c>
      <c r="E14" s="205"/>
      <c r="F14" s="205"/>
      <c r="G14" s="206"/>
      <c r="H14" s="206"/>
      <c r="I14" s="206"/>
      <c r="J14" s="206"/>
      <c r="K14" s="206"/>
      <c r="L14" s="205"/>
      <c r="M14" s="205"/>
      <c r="N14" s="206"/>
      <c r="O14" s="206"/>
      <c r="P14" s="206"/>
      <c r="Q14" s="206"/>
      <c r="R14" s="206"/>
      <c r="S14" s="205"/>
      <c r="T14" s="205"/>
      <c r="U14" s="56"/>
      <c r="V14" s="56"/>
      <c r="W14" s="206"/>
      <c r="X14" s="206"/>
      <c r="Y14" s="207"/>
      <c r="Z14" s="205"/>
      <c r="AA14" s="205"/>
      <c r="AB14" s="56"/>
      <c r="AC14" s="206"/>
      <c r="AD14" s="206"/>
      <c r="AE14" s="206"/>
      <c r="AF14" s="206"/>
      <c r="AG14" s="205"/>
      <c r="AH14" s="205"/>
      <c r="AI14" s="207"/>
      <c r="AJ14" s="206"/>
      <c r="AK14" s="206"/>
      <c r="AL14" s="206"/>
      <c r="AM14" s="206"/>
      <c r="AN14" s="205"/>
      <c r="AO14" s="205"/>
      <c r="AP14" s="206"/>
      <c r="AQ14" s="206"/>
      <c r="AR14" s="206"/>
      <c r="AS14" s="206"/>
      <c r="AT14" s="206"/>
      <c r="AU14" s="205"/>
      <c r="AV14" s="205"/>
      <c r="AW14" s="206"/>
      <c r="AX14" s="206"/>
      <c r="AY14" s="206"/>
      <c r="AZ14" s="206"/>
      <c r="BA14" s="206"/>
      <c r="BB14" s="205"/>
      <c r="BC14" s="205"/>
      <c r="BD14" s="206"/>
      <c r="BE14" s="206"/>
      <c r="BF14" s="206"/>
      <c r="BG14" s="206"/>
      <c r="BH14" s="206"/>
      <c r="BI14" s="205"/>
      <c r="BJ14" s="205"/>
      <c r="BK14" s="206"/>
      <c r="BL14" s="206"/>
      <c r="BM14" s="206"/>
    </row>
    <row r="15" spans="1:66">
      <c r="A15" s="202" t="s">
        <v>159</v>
      </c>
      <c r="B15" s="209" t="s">
        <v>160</v>
      </c>
      <c r="C15" s="204">
        <v>42250</v>
      </c>
      <c r="D15" s="204" t="s">
        <v>144</v>
      </c>
      <c r="E15" s="205"/>
      <c r="F15" s="205"/>
      <c r="G15" s="206"/>
      <c r="H15" s="206"/>
      <c r="I15" s="206"/>
      <c r="J15" s="206"/>
      <c r="K15" s="206"/>
      <c r="L15" s="205"/>
      <c r="M15" s="205"/>
      <c r="N15" s="206"/>
      <c r="O15" s="206"/>
      <c r="P15" s="206"/>
      <c r="Q15" s="206"/>
      <c r="R15" s="206"/>
      <c r="S15" s="205"/>
      <c r="T15" s="205"/>
      <c r="U15" s="56"/>
      <c r="V15" s="56"/>
      <c r="W15" s="206"/>
      <c r="X15" s="206"/>
      <c r="Y15" s="207"/>
      <c r="Z15" s="205"/>
      <c r="AA15" s="205"/>
      <c r="AB15" s="56"/>
      <c r="AC15" s="206"/>
      <c r="AD15" s="206"/>
      <c r="AE15" s="206"/>
      <c r="AF15" s="206"/>
      <c r="AG15" s="205"/>
      <c r="AH15" s="205"/>
      <c r="AI15" s="207"/>
      <c r="AJ15" s="206"/>
      <c r="AK15" s="206"/>
      <c r="AL15" s="206"/>
      <c r="AM15" s="206"/>
      <c r="AN15" s="205"/>
      <c r="AO15" s="205"/>
      <c r="AP15" s="206"/>
      <c r="AQ15" s="206"/>
      <c r="AR15" s="206"/>
      <c r="AS15" s="206"/>
      <c r="AT15" s="206"/>
      <c r="AU15" s="205"/>
      <c r="AV15" s="205"/>
      <c r="AW15" s="206"/>
      <c r="AX15" s="206"/>
      <c r="AY15" s="206"/>
      <c r="AZ15" s="206"/>
      <c r="BA15" s="206"/>
      <c r="BB15" s="205"/>
      <c r="BC15" s="205"/>
      <c r="BD15" s="206"/>
      <c r="BE15" s="206"/>
      <c r="BF15" s="206"/>
      <c r="BG15" s="206"/>
      <c r="BH15" s="206"/>
      <c r="BI15" s="205"/>
      <c r="BJ15" s="205"/>
      <c r="BK15" s="206"/>
      <c r="BL15" s="206"/>
      <c r="BM15" s="206"/>
    </row>
    <row r="16" spans="1:66">
      <c r="A16" s="202" t="s">
        <v>161</v>
      </c>
      <c r="B16" s="209" t="s">
        <v>162</v>
      </c>
      <c r="C16" s="204">
        <v>42250</v>
      </c>
      <c r="D16" s="204" t="s">
        <v>144</v>
      </c>
      <c r="E16" s="205"/>
      <c r="F16" s="205"/>
      <c r="G16" s="206"/>
      <c r="H16" s="206"/>
      <c r="I16" s="206"/>
      <c r="J16" s="206"/>
      <c r="K16" s="206"/>
      <c r="L16" s="205"/>
      <c r="M16" s="205"/>
      <c r="N16" s="206"/>
      <c r="O16" s="206"/>
      <c r="P16" s="206"/>
      <c r="Q16" s="206"/>
      <c r="R16" s="206"/>
      <c r="S16" s="205"/>
      <c r="T16" s="205"/>
      <c r="U16" s="56"/>
      <c r="V16" s="56"/>
      <c r="W16" s="206"/>
      <c r="X16" s="206"/>
      <c r="Y16" s="207"/>
      <c r="Z16" s="205"/>
      <c r="AA16" s="205"/>
      <c r="AB16" s="56"/>
      <c r="AC16" s="206"/>
      <c r="AD16" s="206"/>
      <c r="AE16" s="206"/>
      <c r="AF16" s="206"/>
      <c r="AG16" s="205"/>
      <c r="AH16" s="205"/>
      <c r="AI16" s="207"/>
      <c r="AJ16" s="206"/>
      <c r="AK16" s="206"/>
      <c r="AL16" s="206"/>
      <c r="AM16" s="206"/>
      <c r="AN16" s="205"/>
      <c r="AO16" s="205"/>
      <c r="AP16" s="206"/>
      <c r="AQ16" s="206"/>
      <c r="AR16" s="206"/>
      <c r="AS16" s="206"/>
      <c r="AT16" s="206"/>
      <c r="AU16" s="205"/>
      <c r="AV16" s="205"/>
      <c r="AW16" s="206"/>
      <c r="AX16" s="206"/>
      <c r="AY16" s="206"/>
      <c r="AZ16" s="206"/>
      <c r="BA16" s="206"/>
      <c r="BB16" s="205"/>
      <c r="BC16" s="205"/>
      <c r="BD16" s="206"/>
      <c r="BE16" s="206"/>
      <c r="BF16" s="206"/>
      <c r="BG16" s="206"/>
      <c r="BH16" s="206"/>
      <c r="BI16" s="205"/>
      <c r="BJ16" s="205"/>
      <c r="BK16" s="206"/>
      <c r="BL16" s="206"/>
      <c r="BM16" s="206"/>
    </row>
    <row r="17" spans="21:22">
      <c r="U17" s="55"/>
      <c r="V17" s="55"/>
    </row>
    <row r="18" spans="21:22">
      <c r="U18" s="55"/>
      <c r="V18" s="55"/>
    </row>
  </sheetData>
  <mergeCells count="6">
    <mergeCell ref="AJ3:BM3"/>
    <mergeCell ref="A3:A4"/>
    <mergeCell ref="B3:B4"/>
    <mergeCell ref="C3:C4"/>
    <mergeCell ref="D3:D4"/>
    <mergeCell ref="E3:A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U23"/>
  <sheetViews>
    <sheetView showGridLines="0" workbookViewId="0">
      <pane xSplit="2" ySplit="3" topLeftCell="C13" activePane="bottomRight" state="frozen"/>
      <selection activeCell="D23" sqref="D23"/>
      <selection pane="topRight" activeCell="D23" sqref="D23"/>
      <selection pane="bottomLeft" activeCell="D23" sqref="D23"/>
      <selection pane="bottomRight" activeCell="H29" sqref="H29"/>
    </sheetView>
  </sheetViews>
  <sheetFormatPr defaultRowHeight="15"/>
  <cols>
    <col min="1" max="1" width="1.5703125" style="50" customWidth="1"/>
    <col min="2" max="2" width="20.28515625" style="50" bestFit="1" customWidth="1"/>
    <col min="3" max="3" width="8" style="50" bestFit="1" customWidth="1"/>
    <col min="4" max="4" width="10.140625" style="50" hidden="1" customWidth="1"/>
    <col min="5" max="6" width="10.140625" style="50" bestFit="1" customWidth="1"/>
    <col min="7" max="7" width="9.85546875" style="50" bestFit="1" customWidth="1"/>
    <col min="8" max="8" width="8.42578125" style="50" bestFit="1" customWidth="1"/>
    <col min="9" max="9" width="8.7109375" style="50" bestFit="1" customWidth="1"/>
    <col min="10" max="10" width="7.5703125" style="50" bestFit="1" customWidth="1"/>
    <col min="11" max="11" width="8.7109375" style="50" bestFit="1" customWidth="1"/>
    <col min="12" max="12" width="8.42578125" style="50" bestFit="1" customWidth="1"/>
    <col min="13" max="13" width="8.7109375" style="50" bestFit="1" customWidth="1"/>
    <col min="14" max="19" width="8.7109375" style="50" customWidth="1"/>
    <col min="20" max="21" width="10.140625" style="50" bestFit="1" customWidth="1"/>
    <col min="22" max="16384" width="9.140625" style="50"/>
  </cols>
  <sheetData>
    <row r="2" spans="2:21" ht="19.5" thickBot="1">
      <c r="B2" s="49" t="s">
        <v>306</v>
      </c>
    </row>
    <row r="3" spans="2:21" ht="15.75" thickBot="1">
      <c r="B3" s="105" t="s">
        <v>23</v>
      </c>
      <c r="C3" s="106" t="s">
        <v>24</v>
      </c>
      <c r="D3" s="107" t="s">
        <v>25</v>
      </c>
      <c r="E3" s="107" t="s">
        <v>26</v>
      </c>
      <c r="F3" s="298" t="s">
        <v>27</v>
      </c>
      <c r="G3" s="298"/>
      <c r="H3" s="298" t="s">
        <v>28</v>
      </c>
      <c r="I3" s="298"/>
      <c r="J3" s="298" t="s">
        <v>29</v>
      </c>
      <c r="K3" s="298"/>
      <c r="L3" s="298" t="s">
        <v>30</v>
      </c>
      <c r="M3" s="298"/>
      <c r="N3" s="298" t="s">
        <v>31</v>
      </c>
      <c r="O3" s="298"/>
      <c r="P3" s="298" t="s">
        <v>32</v>
      </c>
      <c r="Q3" s="299"/>
      <c r="R3" s="298" t="s">
        <v>44</v>
      </c>
      <c r="S3" s="299"/>
      <c r="T3" s="106" t="s">
        <v>33</v>
      </c>
      <c r="U3" s="108" t="s">
        <v>11</v>
      </c>
    </row>
    <row r="4" spans="2:21" ht="15.75" thickTop="1">
      <c r="B4" s="109" t="s">
        <v>5</v>
      </c>
      <c r="C4" s="110">
        <v>0.18</v>
      </c>
      <c r="D4" s="111">
        <f>C4*3000000</f>
        <v>540000</v>
      </c>
      <c r="E4" s="111">
        <f>C4*3500000</f>
        <v>630000</v>
      </c>
      <c r="F4" s="112">
        <v>150000</v>
      </c>
      <c r="G4" s="113">
        <v>42078</v>
      </c>
      <c r="H4" s="112">
        <v>100000</v>
      </c>
      <c r="I4" s="113">
        <v>42103</v>
      </c>
      <c r="J4" s="114">
        <v>143000</v>
      </c>
      <c r="K4" s="115">
        <v>42107</v>
      </c>
      <c r="L4" s="112">
        <v>237000</v>
      </c>
      <c r="M4" s="113">
        <v>42234</v>
      </c>
      <c r="N4" s="112"/>
      <c r="O4" s="113"/>
      <c r="P4" s="112"/>
      <c r="Q4" s="116"/>
      <c r="R4" s="112"/>
      <c r="S4" s="116"/>
      <c r="T4" s="117">
        <f>F4+H4+J4+L4+N4+P4</f>
        <v>630000</v>
      </c>
      <c r="U4" s="118">
        <f t="shared" ref="U4:U10" si="0">E4-T4</f>
        <v>0</v>
      </c>
    </row>
    <row r="5" spans="2:21">
      <c r="B5" s="119" t="s">
        <v>16</v>
      </c>
      <c r="C5" s="120">
        <v>0.17</v>
      </c>
      <c r="D5" s="111">
        <f t="shared" ref="D5:D10" si="1">C5*3000000</f>
        <v>510000.00000000006</v>
      </c>
      <c r="E5" s="111">
        <f t="shared" ref="E5:E10" si="2">C5*3500000</f>
        <v>595000</v>
      </c>
      <c r="F5" s="121">
        <v>150000</v>
      </c>
      <c r="G5" s="122">
        <v>42089</v>
      </c>
      <c r="H5" s="121">
        <v>50000</v>
      </c>
      <c r="I5" s="122">
        <v>42102</v>
      </c>
      <c r="J5" s="17">
        <v>1000</v>
      </c>
      <c r="K5" s="18">
        <v>42104</v>
      </c>
      <c r="L5" s="17">
        <v>149000</v>
      </c>
      <c r="M5" s="18">
        <v>42107</v>
      </c>
      <c r="N5" s="123">
        <v>243500</v>
      </c>
      <c r="O5" s="124">
        <v>42229</v>
      </c>
      <c r="P5" s="17"/>
      <c r="Q5" s="125"/>
      <c r="R5" s="17"/>
      <c r="S5" s="125"/>
      <c r="T5" s="117">
        <f>F5+H5+J5+L5+N5+P5</f>
        <v>593500</v>
      </c>
      <c r="U5" s="118">
        <f t="shared" si="0"/>
        <v>1500</v>
      </c>
    </row>
    <row r="6" spans="2:21">
      <c r="B6" s="119" t="s">
        <v>4</v>
      </c>
      <c r="C6" s="120">
        <v>0.14000000000000001</v>
      </c>
      <c r="D6" s="111">
        <f t="shared" si="1"/>
        <v>420000.00000000006</v>
      </c>
      <c r="E6" s="111">
        <f t="shared" si="2"/>
        <v>490000.00000000006</v>
      </c>
      <c r="F6" s="121">
        <v>140000</v>
      </c>
      <c r="G6" s="122">
        <v>42076</v>
      </c>
      <c r="H6" s="121">
        <v>50000</v>
      </c>
      <c r="I6" s="122">
        <v>42100</v>
      </c>
      <c r="J6" s="121">
        <v>50000</v>
      </c>
      <c r="K6" s="122">
        <v>42101</v>
      </c>
      <c r="L6" s="121">
        <v>40000</v>
      </c>
      <c r="M6" s="122">
        <v>42102</v>
      </c>
      <c r="N6" s="121">
        <v>35000</v>
      </c>
      <c r="O6" s="122">
        <v>42123</v>
      </c>
      <c r="P6" s="121">
        <v>50000</v>
      </c>
      <c r="Q6" s="126">
        <v>42124</v>
      </c>
      <c r="R6" s="123">
        <v>99750</v>
      </c>
      <c r="S6" s="127">
        <v>42226</v>
      </c>
      <c r="T6" s="117">
        <f>F6+H6+J6+L6+N6+P6+R6</f>
        <v>464750</v>
      </c>
      <c r="U6" s="118">
        <f t="shared" si="0"/>
        <v>25250.000000000058</v>
      </c>
    </row>
    <row r="7" spans="2:21">
      <c r="B7" s="119" t="s">
        <v>8</v>
      </c>
      <c r="C7" s="120">
        <v>0.14000000000000001</v>
      </c>
      <c r="D7" s="111">
        <f t="shared" si="1"/>
        <v>420000.00000000006</v>
      </c>
      <c r="E7" s="111">
        <f t="shared" si="2"/>
        <v>490000.00000000006</v>
      </c>
      <c r="F7" s="121">
        <v>140000</v>
      </c>
      <c r="G7" s="122">
        <v>42080</v>
      </c>
      <c r="H7" s="17">
        <v>100000</v>
      </c>
      <c r="I7" s="18">
        <v>42104</v>
      </c>
      <c r="J7" s="121">
        <v>100000</v>
      </c>
      <c r="K7" s="122">
        <v>42206</v>
      </c>
      <c r="L7" s="121">
        <v>100000</v>
      </c>
      <c r="M7" s="122">
        <v>42279</v>
      </c>
      <c r="N7" s="121">
        <v>30000</v>
      </c>
      <c r="O7" s="122">
        <v>42306</v>
      </c>
      <c r="P7" s="283">
        <v>15011</v>
      </c>
      <c r="Q7" s="284">
        <v>42306</v>
      </c>
      <c r="R7" s="121"/>
      <c r="S7" s="126"/>
      <c r="T7" s="117">
        <f>F7+H7+J7+L7+N7+P7</f>
        <v>485011</v>
      </c>
      <c r="U7" s="118">
        <f t="shared" si="0"/>
        <v>4989.0000000000582</v>
      </c>
    </row>
    <row r="8" spans="2:21">
      <c r="B8" s="119" t="s">
        <v>9</v>
      </c>
      <c r="C8" s="120">
        <v>0.14000000000000001</v>
      </c>
      <c r="D8" s="111">
        <f t="shared" si="1"/>
        <v>420000.00000000006</v>
      </c>
      <c r="E8" s="111">
        <f t="shared" si="2"/>
        <v>490000.00000000006</v>
      </c>
      <c r="F8" s="121">
        <v>140000</v>
      </c>
      <c r="G8" s="122">
        <v>42086</v>
      </c>
      <c r="H8" s="17">
        <v>100000</v>
      </c>
      <c r="I8" s="18">
        <v>42104</v>
      </c>
      <c r="J8" s="121">
        <v>200000</v>
      </c>
      <c r="K8" s="122">
        <v>42279</v>
      </c>
      <c r="L8" s="121"/>
      <c r="M8" s="122"/>
      <c r="N8" s="121"/>
      <c r="O8" s="122"/>
      <c r="P8" s="121"/>
      <c r="Q8" s="126"/>
      <c r="R8" s="121"/>
      <c r="S8" s="126"/>
      <c r="T8" s="117">
        <f>F8+H8+J8+L8+N8+P8</f>
        <v>440000</v>
      </c>
      <c r="U8" s="118">
        <f t="shared" si="0"/>
        <v>50000.000000000058</v>
      </c>
    </row>
    <row r="9" spans="2:21">
      <c r="B9" s="119" t="s">
        <v>7</v>
      </c>
      <c r="C9" s="120">
        <v>0.14000000000000001</v>
      </c>
      <c r="D9" s="111">
        <f t="shared" si="1"/>
        <v>420000.00000000006</v>
      </c>
      <c r="E9" s="111">
        <f t="shared" si="2"/>
        <v>490000.00000000006</v>
      </c>
      <c r="F9" s="121">
        <v>140000</v>
      </c>
      <c r="G9" s="122">
        <v>42079</v>
      </c>
      <c r="H9" s="17">
        <v>140000</v>
      </c>
      <c r="I9" s="18">
        <v>42107</v>
      </c>
      <c r="J9" s="121">
        <v>195234</v>
      </c>
      <c r="K9" s="122">
        <v>42045</v>
      </c>
      <c r="L9" s="121"/>
      <c r="M9" s="122"/>
      <c r="N9" s="121"/>
      <c r="O9" s="122"/>
      <c r="P9" s="121"/>
      <c r="Q9" s="126"/>
      <c r="R9" s="121"/>
      <c r="S9" s="126"/>
      <c r="T9" s="117">
        <f>F9+H9+J9+L9+N9+P9</f>
        <v>475234</v>
      </c>
      <c r="U9" s="118">
        <f t="shared" si="0"/>
        <v>14766.000000000058</v>
      </c>
    </row>
    <row r="10" spans="2:21" ht="15.75" thickBot="1">
      <c r="B10" s="128" t="s">
        <v>6</v>
      </c>
      <c r="C10" s="129">
        <v>0.09</v>
      </c>
      <c r="D10" s="130">
        <f t="shared" si="1"/>
        <v>270000</v>
      </c>
      <c r="E10" s="130">
        <f t="shared" si="2"/>
        <v>315000</v>
      </c>
      <c r="F10" s="131">
        <v>140000</v>
      </c>
      <c r="G10" s="132">
        <v>42080</v>
      </c>
      <c r="H10" s="133">
        <v>85000</v>
      </c>
      <c r="I10" s="134">
        <v>42104</v>
      </c>
      <c r="J10" s="135">
        <v>50000</v>
      </c>
      <c r="K10" s="136">
        <v>42107</v>
      </c>
      <c r="L10" s="131">
        <v>34553</v>
      </c>
      <c r="M10" s="122">
        <v>42282</v>
      </c>
      <c r="N10" s="131"/>
      <c r="O10" s="132"/>
      <c r="P10" s="131"/>
      <c r="Q10" s="137"/>
      <c r="R10" s="131"/>
      <c r="S10" s="137"/>
      <c r="T10" s="117">
        <f>F10+H10+J10+L10+N10+P10</f>
        <v>309553</v>
      </c>
      <c r="U10" s="118">
        <f t="shared" si="0"/>
        <v>5447</v>
      </c>
    </row>
    <row r="11" spans="2:21" s="145" customFormat="1" ht="17.25" thickTop="1" thickBot="1">
      <c r="B11" s="138" t="s">
        <v>33</v>
      </c>
      <c r="C11" s="139">
        <f>SUM(C4:C10)</f>
        <v>1</v>
      </c>
      <c r="D11" s="140">
        <f>SUM(D4:D10)</f>
        <v>3000000</v>
      </c>
      <c r="E11" s="140">
        <f t="shared" ref="E11" si="3">SUM(E4:E10)</f>
        <v>3500000</v>
      </c>
      <c r="F11" s="141">
        <f>SUM(F4:F10)</f>
        <v>1000000</v>
      </c>
      <c r="G11" s="142">
        <v>42089</v>
      </c>
      <c r="H11" s="300">
        <f>SUM(H4:H10)</f>
        <v>625000</v>
      </c>
      <c r="I11" s="302"/>
      <c r="J11" s="300">
        <f>SUM(J4:J10)</f>
        <v>739234</v>
      </c>
      <c r="K11" s="302"/>
      <c r="L11" s="300">
        <f>SUM(L4:L10)</f>
        <v>560553</v>
      </c>
      <c r="M11" s="302"/>
      <c r="N11" s="300">
        <f>SUM(N4:N10)</f>
        <v>308500</v>
      </c>
      <c r="O11" s="302"/>
      <c r="P11" s="300">
        <f>SUM(P4:P10)</f>
        <v>65011</v>
      </c>
      <c r="Q11" s="301"/>
      <c r="R11" s="300">
        <f>SUM(R4:R10)</f>
        <v>99750</v>
      </c>
      <c r="S11" s="301"/>
      <c r="T11" s="143">
        <f>SUM(T4:T10)</f>
        <v>3398048</v>
      </c>
      <c r="U11" s="144">
        <f>SUM(U4:U10)</f>
        <v>101952.00000000023</v>
      </c>
    </row>
    <row r="12" spans="2:21">
      <c r="T12" s="146">
        <v>42283</v>
      </c>
    </row>
    <row r="13" spans="2:21">
      <c r="B13" s="286" t="s">
        <v>308</v>
      </c>
      <c r="T13" s="285"/>
    </row>
    <row r="14" spans="2:21" ht="19.5" thickBot="1">
      <c r="B14" s="49" t="s">
        <v>306</v>
      </c>
    </row>
    <row r="15" spans="2:21" ht="15.75" thickBot="1">
      <c r="B15" s="105" t="s">
        <v>23</v>
      </c>
      <c r="C15" s="106" t="s">
        <v>24</v>
      </c>
      <c r="D15" s="282" t="s">
        <v>25</v>
      </c>
      <c r="E15" s="282" t="s">
        <v>307</v>
      </c>
      <c r="F15" s="298" t="s">
        <v>27</v>
      </c>
      <c r="G15" s="298"/>
    </row>
    <row r="16" spans="2:21" ht="15.75" thickTop="1">
      <c r="B16" s="109" t="s">
        <v>5</v>
      </c>
      <c r="C16" s="110">
        <v>0.18</v>
      </c>
      <c r="D16" s="111">
        <f>C16*3000000</f>
        <v>540000</v>
      </c>
      <c r="E16" s="111">
        <f>C16*200000</f>
        <v>36000</v>
      </c>
      <c r="F16" s="112"/>
      <c r="G16" s="113"/>
    </row>
    <row r="17" spans="2:7">
      <c r="B17" s="119" t="s">
        <v>16</v>
      </c>
      <c r="C17" s="120">
        <v>0.17</v>
      </c>
      <c r="D17" s="111">
        <f t="shared" ref="D17:D22" si="4">C17*3000000</f>
        <v>510000.00000000006</v>
      </c>
      <c r="E17" s="111">
        <f t="shared" ref="E17:E22" si="5">C17*200000</f>
        <v>34000</v>
      </c>
      <c r="F17" s="121"/>
      <c r="G17" s="122"/>
    </row>
    <row r="18" spans="2:7">
      <c r="B18" s="119" t="s">
        <v>4</v>
      </c>
      <c r="C18" s="120">
        <v>0.14000000000000001</v>
      </c>
      <c r="D18" s="111">
        <f t="shared" si="4"/>
        <v>420000.00000000006</v>
      </c>
      <c r="E18" s="111">
        <f t="shared" si="5"/>
        <v>28000.000000000004</v>
      </c>
      <c r="F18" s="121">
        <v>28000</v>
      </c>
      <c r="G18" s="122">
        <v>42308</v>
      </c>
    </row>
    <row r="19" spans="2:7">
      <c r="B19" s="119" t="s">
        <v>8</v>
      </c>
      <c r="C19" s="120">
        <v>0.14000000000000001</v>
      </c>
      <c r="D19" s="111">
        <f t="shared" si="4"/>
        <v>420000.00000000006</v>
      </c>
      <c r="E19" s="111">
        <f t="shared" si="5"/>
        <v>28000.000000000004</v>
      </c>
      <c r="F19" s="121"/>
      <c r="G19" s="122"/>
    </row>
    <row r="20" spans="2:7">
      <c r="B20" s="119" t="s">
        <v>9</v>
      </c>
      <c r="C20" s="120">
        <v>0.14000000000000001</v>
      </c>
      <c r="D20" s="111">
        <f t="shared" si="4"/>
        <v>420000.00000000006</v>
      </c>
      <c r="E20" s="111">
        <f t="shared" si="5"/>
        <v>28000.000000000004</v>
      </c>
      <c r="F20" s="121"/>
      <c r="G20" s="122"/>
    </row>
    <row r="21" spans="2:7">
      <c r="B21" s="119" t="s">
        <v>7</v>
      </c>
      <c r="C21" s="120">
        <v>0.14000000000000001</v>
      </c>
      <c r="D21" s="111">
        <f t="shared" si="4"/>
        <v>420000.00000000006</v>
      </c>
      <c r="E21" s="111">
        <f t="shared" si="5"/>
        <v>28000.000000000004</v>
      </c>
      <c r="F21" s="121"/>
      <c r="G21" s="122"/>
    </row>
    <row r="22" spans="2:7" ht="15.75" thickBot="1">
      <c r="B22" s="128" t="s">
        <v>6</v>
      </c>
      <c r="C22" s="129">
        <v>0.09</v>
      </c>
      <c r="D22" s="130">
        <f t="shared" si="4"/>
        <v>270000</v>
      </c>
      <c r="E22" s="111">
        <f t="shared" si="5"/>
        <v>18000</v>
      </c>
      <c r="F22" s="131">
        <v>18000</v>
      </c>
      <c r="G22" s="132">
        <v>42315</v>
      </c>
    </row>
    <row r="23" spans="2:7" ht="17.25" thickTop="1" thickBot="1">
      <c r="B23" s="138" t="s">
        <v>33</v>
      </c>
      <c r="C23" s="139">
        <f>SUM(C16:C22)</f>
        <v>1</v>
      </c>
      <c r="D23" s="140">
        <f>SUM(D16:D22)</f>
        <v>3000000</v>
      </c>
      <c r="E23" s="140">
        <f t="shared" ref="E23" si="6">SUM(E16:E22)</f>
        <v>200000</v>
      </c>
      <c r="F23" s="141">
        <f>SUM(F16:F22)</f>
        <v>46000</v>
      </c>
      <c r="G23" s="142"/>
    </row>
  </sheetData>
  <mergeCells count="14">
    <mergeCell ref="F15:G15"/>
    <mergeCell ref="R3:S3"/>
    <mergeCell ref="R11:S11"/>
    <mergeCell ref="P3:Q3"/>
    <mergeCell ref="F3:G3"/>
    <mergeCell ref="H3:I3"/>
    <mergeCell ref="J3:K3"/>
    <mergeCell ref="L3:M3"/>
    <mergeCell ref="N3:O3"/>
    <mergeCell ref="H11:I11"/>
    <mergeCell ref="J11:K11"/>
    <mergeCell ref="L11:M11"/>
    <mergeCell ref="N11:O11"/>
    <mergeCell ref="P11:Q11"/>
  </mergeCells>
  <hyperlinks>
    <hyperlink ref="B3" r:id="rId1"/>
    <hyperlink ref="B15" r:id="rId2"/>
  </hyperlinks>
  <pageMargins left="0.7" right="0.7" top="0.75" bottom="0.75" header="0.3" footer="0.3"/>
  <pageSetup paperSize="9" scale="72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67"/>
  <sheetViews>
    <sheetView workbookViewId="0">
      <pane xSplit="1" ySplit="2" topLeftCell="J3" activePane="bottomRight" state="frozen"/>
      <selection pane="topRight" activeCell="B1" sqref="B1"/>
      <selection pane="bottomLeft" activeCell="A3" sqref="A3"/>
      <selection pane="bottomRight" activeCell="P8" sqref="P8"/>
    </sheetView>
  </sheetViews>
  <sheetFormatPr defaultColWidth="20.5703125" defaultRowHeight="15"/>
  <cols>
    <col min="1" max="1" width="9.42578125" style="43" bestFit="1" customWidth="1"/>
    <col min="2" max="2" width="11.7109375" style="44" bestFit="1" customWidth="1"/>
    <col min="3" max="3" width="25.140625" style="43" customWidth="1"/>
    <col min="4" max="4" width="8.140625" style="173" bestFit="1" customWidth="1"/>
    <col min="5" max="5" width="8.85546875" style="44" bestFit="1" customWidth="1"/>
    <col min="6" max="6" width="25.140625" style="43" customWidth="1"/>
    <col min="7" max="7" width="8.140625" style="173" bestFit="1" customWidth="1"/>
    <col min="8" max="8" width="10.140625" style="44" bestFit="1" customWidth="1"/>
    <col min="9" max="9" width="25.140625" style="43" customWidth="1"/>
    <col min="10" max="10" width="9" style="173" customWidth="1"/>
    <col min="11" max="11" width="9.5703125" style="44" bestFit="1" customWidth="1"/>
    <col min="12" max="12" width="25.140625" style="43" customWidth="1"/>
    <col min="13" max="13" width="8.140625" style="173" bestFit="1" customWidth="1"/>
    <col min="14" max="14" width="9.5703125" style="44" bestFit="1" customWidth="1"/>
    <col min="15" max="15" width="19.140625" style="43" customWidth="1"/>
    <col min="16" max="16" width="9.140625" style="166" bestFit="1" customWidth="1"/>
    <col min="17" max="17" width="10.140625" style="44" bestFit="1" customWidth="1"/>
    <col min="18" max="18" width="25.140625" style="43" customWidth="1"/>
    <col min="19" max="19" width="8.5703125" style="43" bestFit="1" customWidth="1"/>
    <col min="20" max="20" width="9.7109375" style="44" bestFit="1" customWidth="1"/>
    <col min="21" max="21" width="19.42578125" style="43" customWidth="1"/>
    <col min="22" max="22" width="9.5703125" style="43" bestFit="1" customWidth="1"/>
    <col min="23" max="16384" width="20.5703125" style="43"/>
  </cols>
  <sheetData>
    <row r="1" spans="1:23" ht="15.75" thickBot="1">
      <c r="A1" s="308" t="s">
        <v>35</v>
      </c>
      <c r="B1" s="306" t="s">
        <v>5</v>
      </c>
      <c r="C1" s="306"/>
      <c r="D1" s="307"/>
      <c r="E1" s="306" t="s">
        <v>16</v>
      </c>
      <c r="F1" s="306"/>
      <c r="G1" s="306"/>
      <c r="H1" s="306" t="s">
        <v>4</v>
      </c>
      <c r="I1" s="306"/>
      <c r="J1" s="306"/>
      <c r="K1" s="306" t="s">
        <v>8</v>
      </c>
      <c r="L1" s="306"/>
      <c r="M1" s="306"/>
      <c r="N1" s="306" t="s">
        <v>9</v>
      </c>
      <c r="O1" s="306"/>
      <c r="P1" s="306"/>
      <c r="Q1" s="306" t="s">
        <v>7</v>
      </c>
      <c r="R1" s="306"/>
      <c r="S1" s="306"/>
      <c r="T1" s="306" t="s">
        <v>104</v>
      </c>
      <c r="U1" s="306"/>
      <c r="V1" s="307"/>
    </row>
    <row r="2" spans="1:23" ht="16.5" thickTop="1" thickBot="1">
      <c r="A2" s="309"/>
      <c r="B2" s="35" t="s">
        <v>0</v>
      </c>
      <c r="C2" s="33" t="s">
        <v>37</v>
      </c>
      <c r="D2" s="174" t="s">
        <v>36</v>
      </c>
      <c r="E2" s="35" t="s">
        <v>0</v>
      </c>
      <c r="F2" s="33" t="s">
        <v>37</v>
      </c>
      <c r="G2" s="168" t="s">
        <v>36</v>
      </c>
      <c r="H2" s="35" t="s">
        <v>0</v>
      </c>
      <c r="I2" s="33" t="s">
        <v>37</v>
      </c>
      <c r="J2" s="168" t="s">
        <v>36</v>
      </c>
      <c r="K2" s="35" t="s">
        <v>0</v>
      </c>
      <c r="L2" s="33" t="s">
        <v>37</v>
      </c>
      <c r="M2" s="168" t="s">
        <v>36</v>
      </c>
      <c r="N2" s="35" t="s">
        <v>0</v>
      </c>
      <c r="O2" s="33" t="s">
        <v>37</v>
      </c>
      <c r="P2" s="161" t="s">
        <v>36</v>
      </c>
      <c r="Q2" s="35" t="s">
        <v>0</v>
      </c>
      <c r="R2" s="33" t="s">
        <v>37</v>
      </c>
      <c r="S2" s="33" t="s">
        <v>36</v>
      </c>
      <c r="T2" s="35" t="s">
        <v>0</v>
      </c>
      <c r="U2" s="33" t="s">
        <v>37</v>
      </c>
      <c r="V2" s="34" t="s">
        <v>36</v>
      </c>
    </row>
    <row r="3" spans="1:23" ht="30.75" thickTop="1">
      <c r="A3" s="36"/>
      <c r="B3" s="37">
        <v>42124</v>
      </c>
      <c r="C3" s="32" t="s">
        <v>41</v>
      </c>
      <c r="D3" s="175">
        <v>8000</v>
      </c>
      <c r="E3" s="37">
        <v>42211</v>
      </c>
      <c r="F3" s="32" t="s">
        <v>108</v>
      </c>
      <c r="G3" s="169">
        <f>40*32.75</f>
        <v>1310</v>
      </c>
      <c r="H3" s="37">
        <v>42089</v>
      </c>
      <c r="I3" s="32" t="s">
        <v>38</v>
      </c>
      <c r="J3" s="169">
        <v>700</v>
      </c>
      <c r="K3" s="37">
        <v>42114</v>
      </c>
      <c r="L3" s="147" t="s">
        <v>40</v>
      </c>
      <c r="M3" s="169">
        <v>400</v>
      </c>
      <c r="N3" s="37">
        <v>42121</v>
      </c>
      <c r="O3" s="32" t="s">
        <v>117</v>
      </c>
      <c r="P3" s="162">
        <f>62*32.75</f>
        <v>2030.5</v>
      </c>
      <c r="Q3" s="37">
        <v>42102</v>
      </c>
      <c r="R3" s="147" t="s">
        <v>12</v>
      </c>
      <c r="S3" s="32">
        <v>362</v>
      </c>
      <c r="T3" s="37">
        <v>42270</v>
      </c>
      <c r="U3" s="32" t="s">
        <v>122</v>
      </c>
      <c r="V3" s="38">
        <f>109*32.75</f>
        <v>3569.75</v>
      </c>
    </row>
    <row r="4" spans="1:23" ht="30">
      <c r="A4" s="39"/>
      <c r="B4" s="40">
        <v>42192</v>
      </c>
      <c r="C4" s="41" t="s">
        <v>42</v>
      </c>
      <c r="D4" s="176">
        <v>170</v>
      </c>
      <c r="E4" s="40"/>
      <c r="F4" s="41"/>
      <c r="G4" s="167"/>
      <c r="H4" s="40">
        <v>42088</v>
      </c>
      <c r="I4" s="41" t="s">
        <v>113</v>
      </c>
      <c r="J4" s="167">
        <v>130</v>
      </c>
      <c r="K4" s="40">
        <v>42114</v>
      </c>
      <c r="L4" s="41" t="s">
        <v>114</v>
      </c>
      <c r="M4" s="276">
        <v>700</v>
      </c>
      <c r="N4" s="277">
        <v>42217</v>
      </c>
      <c r="O4" s="278" t="s">
        <v>118</v>
      </c>
      <c r="P4" s="276">
        <v>21451.129999999997</v>
      </c>
      <c r="Q4" s="277">
        <v>42117</v>
      </c>
      <c r="R4" s="278" t="s">
        <v>12</v>
      </c>
      <c r="S4" s="278">
        <v>362</v>
      </c>
      <c r="T4" s="277">
        <v>42279</v>
      </c>
      <c r="U4" s="278" t="s">
        <v>171</v>
      </c>
      <c r="V4" s="279">
        <f>26*32.75</f>
        <v>851.5</v>
      </c>
      <c r="W4" s="280"/>
    </row>
    <row r="5" spans="1:23" ht="30">
      <c r="A5" s="39"/>
      <c r="B5" s="40"/>
      <c r="C5" s="41"/>
      <c r="D5" s="176"/>
      <c r="E5" s="40"/>
      <c r="F5" s="41"/>
      <c r="G5" s="167"/>
      <c r="H5" s="40" t="s">
        <v>111</v>
      </c>
      <c r="I5" s="41" t="s">
        <v>112</v>
      </c>
      <c r="J5" s="167">
        <f>91.15*32.75</f>
        <v>2985.1625000000004</v>
      </c>
      <c r="K5" s="40">
        <v>42299</v>
      </c>
      <c r="L5" s="41" t="s">
        <v>294</v>
      </c>
      <c r="M5" s="276">
        <v>843</v>
      </c>
      <c r="N5" s="277">
        <v>42267</v>
      </c>
      <c r="O5" s="278" t="s">
        <v>166</v>
      </c>
      <c r="P5" s="281">
        <f>114*32.75</f>
        <v>3733.5</v>
      </c>
      <c r="Q5" s="277">
        <v>42154</v>
      </c>
      <c r="R5" s="278" t="s">
        <v>115</v>
      </c>
      <c r="S5" s="278">
        <v>429</v>
      </c>
      <c r="T5" s="277">
        <v>42279</v>
      </c>
      <c r="U5" s="278" t="s">
        <v>172</v>
      </c>
      <c r="V5" s="279">
        <f>29*32.75</f>
        <v>949.75</v>
      </c>
      <c r="W5" s="280"/>
    </row>
    <row r="6" spans="1:23" ht="30">
      <c r="A6" s="39"/>
      <c r="B6" s="40"/>
      <c r="C6" s="41"/>
      <c r="D6" s="176"/>
      <c r="E6" s="40"/>
      <c r="F6" s="41"/>
      <c r="G6" s="167"/>
      <c r="H6" s="40">
        <v>42106</v>
      </c>
      <c r="I6" s="147" t="s">
        <v>39</v>
      </c>
      <c r="J6" s="167">
        <v>800</v>
      </c>
      <c r="K6" s="40">
        <v>42299</v>
      </c>
      <c r="L6" s="41" t="s">
        <v>295</v>
      </c>
      <c r="M6" s="276">
        <v>3046</v>
      </c>
      <c r="N6" s="277">
        <v>42291</v>
      </c>
      <c r="O6" s="278" t="s">
        <v>252</v>
      </c>
      <c r="P6" s="281">
        <f>8*350</f>
        <v>2800</v>
      </c>
      <c r="Q6" s="277">
        <v>42140</v>
      </c>
      <c r="R6" s="278" t="s">
        <v>115</v>
      </c>
      <c r="S6" s="278">
        <v>373</v>
      </c>
      <c r="T6" s="277">
        <v>42307</v>
      </c>
      <c r="U6" s="278" t="s">
        <v>304</v>
      </c>
      <c r="V6" s="279">
        <f>33.33*32.75</f>
        <v>1091.5574999999999</v>
      </c>
      <c r="W6" s="280"/>
    </row>
    <row r="7" spans="1:23" ht="30">
      <c r="A7" s="36"/>
      <c r="B7" s="40"/>
      <c r="C7" s="41"/>
      <c r="D7" s="176"/>
      <c r="E7" s="40"/>
      <c r="F7" s="41"/>
      <c r="G7" s="167"/>
      <c r="H7" s="40">
        <v>42117</v>
      </c>
      <c r="I7" s="45" t="s">
        <v>15</v>
      </c>
      <c r="J7" s="167">
        <v>200</v>
      </c>
      <c r="K7" s="40"/>
      <c r="L7" s="41"/>
      <c r="M7" s="276"/>
      <c r="N7" s="277">
        <v>42296</v>
      </c>
      <c r="O7" s="278" t="s">
        <v>297</v>
      </c>
      <c r="P7" s="281">
        <v>5750</v>
      </c>
      <c r="Q7" s="277">
        <v>42175</v>
      </c>
      <c r="R7" s="278" t="s">
        <v>115</v>
      </c>
      <c r="S7" s="278">
        <v>429</v>
      </c>
      <c r="T7" s="277">
        <v>42307</v>
      </c>
      <c r="U7" s="278" t="s">
        <v>305</v>
      </c>
      <c r="V7" s="279">
        <f>6.6*32.75</f>
        <v>216.14999999999998</v>
      </c>
      <c r="W7" s="280"/>
    </row>
    <row r="8" spans="1:23" ht="30">
      <c r="A8" s="39"/>
      <c r="B8" s="40"/>
      <c r="C8" s="41"/>
      <c r="D8" s="176"/>
      <c r="E8" s="40"/>
      <c r="F8" s="41"/>
      <c r="G8" s="167"/>
      <c r="H8" s="40">
        <v>42140</v>
      </c>
      <c r="I8" s="45" t="s">
        <v>15</v>
      </c>
      <c r="J8" s="167">
        <v>962</v>
      </c>
      <c r="K8" s="40"/>
      <c r="L8" s="41"/>
      <c r="M8" s="276"/>
      <c r="N8" s="277">
        <v>42316</v>
      </c>
      <c r="O8" s="278" t="s">
        <v>316</v>
      </c>
      <c r="P8" s="281">
        <f>18.36*8*32.75</f>
        <v>4810.32</v>
      </c>
      <c r="Q8" s="277">
        <v>42175</v>
      </c>
      <c r="R8" s="278" t="s">
        <v>59</v>
      </c>
      <c r="S8" s="278">
        <v>500</v>
      </c>
      <c r="T8" s="277"/>
      <c r="U8" s="278"/>
      <c r="V8" s="279"/>
      <c r="W8" s="280"/>
    </row>
    <row r="9" spans="1:23" ht="60">
      <c r="A9" s="39"/>
      <c r="B9" s="40"/>
      <c r="C9" s="41"/>
      <c r="D9" s="176"/>
      <c r="E9" s="40"/>
      <c r="F9" s="41"/>
      <c r="G9" s="167"/>
      <c r="H9" s="40">
        <v>42161</v>
      </c>
      <c r="I9" s="41" t="s">
        <v>52</v>
      </c>
      <c r="J9" s="167">
        <v>401</v>
      </c>
      <c r="K9" s="40"/>
      <c r="L9" s="41"/>
      <c r="M9" s="276"/>
      <c r="N9" s="277"/>
      <c r="O9" s="278"/>
      <c r="P9" s="281"/>
      <c r="Q9" s="277">
        <v>42268</v>
      </c>
      <c r="R9" s="278" t="s">
        <v>116</v>
      </c>
      <c r="S9" s="278">
        <f>5*350</f>
        <v>1750</v>
      </c>
      <c r="T9" s="277"/>
      <c r="U9" s="278"/>
      <c r="V9" s="279"/>
      <c r="W9" s="280"/>
    </row>
    <row r="10" spans="1:23">
      <c r="A10" s="39"/>
      <c r="B10" s="40"/>
      <c r="C10" s="41"/>
      <c r="D10" s="176"/>
      <c r="E10" s="40"/>
      <c r="F10" s="41"/>
      <c r="G10" s="167"/>
      <c r="H10" s="40">
        <v>42203</v>
      </c>
      <c r="I10" s="41" t="s">
        <v>53</v>
      </c>
      <c r="J10" s="167">
        <v>582</v>
      </c>
      <c r="K10" s="40"/>
      <c r="L10" s="41"/>
      <c r="M10" s="167"/>
      <c r="N10" s="40"/>
      <c r="O10" s="41"/>
      <c r="P10" s="163"/>
      <c r="Q10" s="40">
        <v>42267</v>
      </c>
      <c r="R10" s="41" t="s">
        <v>167</v>
      </c>
      <c r="S10" s="41">
        <f>353*32.75</f>
        <v>11560.75</v>
      </c>
      <c r="T10" s="40"/>
      <c r="U10" s="41"/>
      <c r="V10" s="42"/>
    </row>
    <row r="11" spans="1:23" ht="30">
      <c r="A11" s="36"/>
      <c r="B11" s="40"/>
      <c r="C11" s="41"/>
      <c r="D11" s="176"/>
      <c r="E11" s="40"/>
      <c r="F11" s="41"/>
      <c r="G11" s="167"/>
      <c r="H11" s="40" t="s">
        <v>54</v>
      </c>
      <c r="I11" s="41" t="s">
        <v>55</v>
      </c>
      <c r="J11" s="167">
        <v>492</v>
      </c>
      <c r="K11" s="40"/>
      <c r="L11" s="41"/>
      <c r="M11" s="167"/>
      <c r="N11" s="40"/>
      <c r="O11" s="41"/>
      <c r="P11" s="163"/>
      <c r="Q11" s="40"/>
      <c r="R11" s="41"/>
      <c r="S11" s="41"/>
      <c r="T11" s="40"/>
      <c r="U11" s="41"/>
      <c r="V11" s="42"/>
    </row>
    <row r="12" spans="1:23">
      <c r="A12" s="39"/>
      <c r="B12" s="40"/>
      <c r="C12" s="41"/>
      <c r="D12" s="176"/>
      <c r="E12" s="40"/>
      <c r="F12" s="41"/>
      <c r="G12" s="167"/>
      <c r="H12" s="40">
        <v>42213</v>
      </c>
      <c r="I12" s="41" t="s">
        <v>107</v>
      </c>
      <c r="J12" s="167">
        <f>19.1*32.75</f>
        <v>625.52500000000009</v>
      </c>
      <c r="K12" s="40"/>
      <c r="L12" s="41"/>
      <c r="M12" s="167"/>
      <c r="N12" s="40"/>
      <c r="O12" s="41"/>
      <c r="P12" s="163"/>
      <c r="Q12" s="40"/>
      <c r="R12" s="41"/>
      <c r="S12" s="41"/>
      <c r="T12" s="40"/>
      <c r="U12" s="41"/>
      <c r="V12" s="42"/>
    </row>
    <row r="13" spans="1:23" ht="30">
      <c r="A13" s="39"/>
      <c r="B13" s="40"/>
      <c r="C13" s="41"/>
      <c r="D13" s="176"/>
      <c r="E13" s="40"/>
      <c r="F13" s="41"/>
      <c r="G13" s="167"/>
      <c r="H13" s="40">
        <v>42213</v>
      </c>
      <c r="I13" s="41" t="s">
        <v>105</v>
      </c>
      <c r="J13" s="167">
        <f>230*32.75</f>
        <v>7532.5</v>
      </c>
      <c r="K13" s="40"/>
      <c r="L13" s="41"/>
      <c r="M13" s="167"/>
      <c r="N13" s="40"/>
      <c r="O13" s="41"/>
      <c r="P13" s="163"/>
      <c r="Q13" s="40"/>
      <c r="R13" s="41"/>
      <c r="S13" s="41"/>
      <c r="T13" s="40"/>
      <c r="U13" s="41"/>
      <c r="V13" s="42"/>
    </row>
    <row r="14" spans="1:23" ht="30">
      <c r="A14" s="39"/>
      <c r="B14" s="40"/>
      <c r="C14" s="41"/>
      <c r="D14" s="176"/>
      <c r="E14" s="40"/>
      <c r="F14" s="41"/>
      <c r="G14" s="167"/>
      <c r="H14" s="40">
        <v>42213</v>
      </c>
      <c r="I14" s="41" t="s">
        <v>106</v>
      </c>
      <c r="J14" s="167">
        <f>119*32.75</f>
        <v>3897.25</v>
      </c>
      <c r="K14" s="40"/>
      <c r="L14" s="41"/>
      <c r="M14" s="167"/>
      <c r="N14" s="40"/>
      <c r="O14" s="41"/>
      <c r="P14" s="163"/>
      <c r="Q14" s="40"/>
      <c r="R14" s="41"/>
      <c r="S14" s="41"/>
      <c r="T14" s="40"/>
      <c r="U14" s="41"/>
      <c r="V14" s="42"/>
    </row>
    <row r="15" spans="1:23">
      <c r="A15" s="36"/>
      <c r="B15" s="40"/>
      <c r="C15" s="41"/>
      <c r="D15" s="176"/>
      <c r="E15" s="40"/>
      <c r="F15" s="41"/>
      <c r="G15" s="167"/>
      <c r="H15" s="40">
        <v>42213</v>
      </c>
      <c r="I15" s="41" t="s">
        <v>109</v>
      </c>
      <c r="J15" s="167">
        <f>19*32.75</f>
        <v>622.25</v>
      </c>
      <c r="K15" s="40"/>
      <c r="L15" s="41"/>
      <c r="M15" s="167"/>
      <c r="N15" s="40"/>
      <c r="O15" s="41"/>
      <c r="P15" s="163"/>
      <c r="Q15" s="40"/>
      <c r="R15" s="41"/>
      <c r="S15" s="41"/>
      <c r="T15" s="40"/>
      <c r="U15" s="41"/>
      <c r="V15" s="42"/>
    </row>
    <row r="16" spans="1:23">
      <c r="A16" s="36"/>
      <c r="B16" s="40"/>
      <c r="C16" s="41"/>
      <c r="D16" s="176"/>
      <c r="E16" s="40"/>
      <c r="F16" s="41"/>
      <c r="G16" s="167"/>
      <c r="H16" s="40">
        <v>42213</v>
      </c>
      <c r="I16" s="41" t="s">
        <v>110</v>
      </c>
      <c r="J16" s="167">
        <f>8.45*32.75</f>
        <v>276.73749999999995</v>
      </c>
      <c r="K16" s="40"/>
      <c r="L16" s="41"/>
      <c r="M16" s="167"/>
      <c r="N16" s="40"/>
      <c r="O16" s="41"/>
      <c r="P16" s="163"/>
      <c r="Q16" s="40"/>
      <c r="R16" s="41"/>
      <c r="S16" s="41"/>
      <c r="T16" s="40"/>
      <c r="U16" s="41"/>
      <c r="V16" s="42"/>
    </row>
    <row r="17" spans="1:22">
      <c r="A17" s="36"/>
      <c r="B17" s="40"/>
      <c r="C17" s="41"/>
      <c r="D17" s="176"/>
      <c r="E17" s="40"/>
      <c r="F17" s="41"/>
      <c r="G17" s="167"/>
      <c r="H17" s="40">
        <v>42222</v>
      </c>
      <c r="I17" s="41" t="s">
        <v>53</v>
      </c>
      <c r="J17" s="167">
        <v>287</v>
      </c>
      <c r="K17" s="40"/>
      <c r="L17" s="41"/>
      <c r="M17" s="167"/>
      <c r="N17" s="40"/>
      <c r="O17" s="41"/>
      <c r="P17" s="163"/>
      <c r="Q17" s="40"/>
      <c r="R17" s="41"/>
      <c r="S17" s="41"/>
      <c r="T17" s="40"/>
      <c r="U17" s="41"/>
      <c r="V17" s="42"/>
    </row>
    <row r="18" spans="1:22">
      <c r="A18" s="36"/>
      <c r="B18" s="40"/>
      <c r="C18" s="41"/>
      <c r="D18" s="176"/>
      <c r="E18" s="40"/>
      <c r="F18" s="41"/>
      <c r="G18" s="167"/>
      <c r="H18" s="40">
        <v>42233</v>
      </c>
      <c r="I18" s="41" t="s">
        <v>56</v>
      </c>
      <c r="J18" s="167">
        <v>1000</v>
      </c>
      <c r="K18" s="40"/>
      <c r="L18" s="41"/>
      <c r="M18" s="167"/>
      <c r="N18" s="40"/>
      <c r="O18" s="41"/>
      <c r="P18" s="163"/>
      <c r="Q18" s="40"/>
      <c r="R18" s="41"/>
      <c r="S18" s="41"/>
      <c r="T18" s="40"/>
      <c r="U18" s="41"/>
      <c r="V18" s="42"/>
    </row>
    <row r="19" spans="1:22" ht="30">
      <c r="A19" s="36"/>
      <c r="B19" s="40"/>
      <c r="C19" s="41"/>
      <c r="D19" s="176"/>
      <c r="E19" s="40"/>
      <c r="F19" s="41"/>
      <c r="G19" s="167"/>
      <c r="H19" s="40">
        <v>42287</v>
      </c>
      <c r="I19" s="41" t="s">
        <v>249</v>
      </c>
      <c r="J19" s="167">
        <f>23.4064*32.75</f>
        <v>766.55960000000005</v>
      </c>
      <c r="K19" s="40"/>
      <c r="L19" s="41"/>
      <c r="M19" s="167"/>
      <c r="N19" s="40"/>
      <c r="O19" s="41"/>
      <c r="P19" s="163"/>
      <c r="Q19" s="40"/>
      <c r="R19" s="41"/>
      <c r="S19" s="41"/>
      <c r="T19" s="40"/>
      <c r="U19" s="41"/>
      <c r="V19" s="42"/>
    </row>
    <row r="20" spans="1:22">
      <c r="A20" s="36"/>
      <c r="B20" s="40"/>
      <c r="C20" s="41"/>
      <c r="D20" s="176"/>
      <c r="E20" s="40"/>
      <c r="F20" s="41"/>
      <c r="G20" s="167"/>
      <c r="H20" s="40">
        <v>42287</v>
      </c>
      <c r="I20" s="41" t="s">
        <v>251</v>
      </c>
      <c r="J20" s="167">
        <f>54.6*32.75</f>
        <v>1788.15</v>
      </c>
      <c r="K20" s="40"/>
      <c r="L20" s="41"/>
      <c r="M20" s="167"/>
      <c r="N20" s="40"/>
      <c r="O20" s="41"/>
      <c r="P20" s="163"/>
      <c r="Q20" s="40"/>
      <c r="R20" s="41"/>
      <c r="S20" s="41"/>
      <c r="T20" s="40"/>
      <c r="U20" s="41"/>
      <c r="V20" s="42"/>
    </row>
    <row r="21" spans="1:22">
      <c r="A21" s="36"/>
      <c r="B21" s="40"/>
      <c r="C21" s="41"/>
      <c r="D21" s="176"/>
      <c r="E21" s="40"/>
      <c r="F21" s="41"/>
      <c r="G21" s="167"/>
      <c r="H21" s="40">
        <v>42287</v>
      </c>
      <c r="I21" s="41" t="s">
        <v>250</v>
      </c>
      <c r="J21" s="167">
        <v>1000</v>
      </c>
      <c r="K21" s="40"/>
      <c r="L21" s="41"/>
      <c r="M21" s="167"/>
      <c r="N21" s="40"/>
      <c r="O21" s="41"/>
      <c r="P21" s="163"/>
      <c r="Q21" s="40"/>
      <c r="R21" s="41"/>
      <c r="S21" s="41"/>
      <c r="T21" s="40"/>
      <c r="U21" s="41"/>
      <c r="V21" s="42"/>
    </row>
    <row r="22" spans="1:22">
      <c r="A22" s="36"/>
      <c r="B22" s="40"/>
      <c r="C22" s="41"/>
      <c r="D22" s="176"/>
      <c r="E22" s="40"/>
      <c r="F22" s="41"/>
      <c r="G22" s="167"/>
      <c r="H22" s="40"/>
      <c r="I22" s="41"/>
      <c r="J22" s="167"/>
      <c r="K22" s="40"/>
      <c r="L22" s="41"/>
      <c r="M22" s="167"/>
      <c r="N22" s="40"/>
      <c r="O22" s="41"/>
      <c r="P22" s="163"/>
      <c r="Q22" s="40"/>
      <c r="R22" s="41"/>
      <c r="S22" s="41"/>
      <c r="T22" s="40"/>
      <c r="U22" s="41"/>
      <c r="V22" s="42"/>
    </row>
    <row r="23" spans="1:22">
      <c r="A23" s="36"/>
      <c r="B23" s="40"/>
      <c r="C23" s="41"/>
      <c r="D23" s="176"/>
      <c r="E23" s="40"/>
      <c r="F23" s="41"/>
      <c r="G23" s="167"/>
      <c r="H23" s="40"/>
      <c r="I23" s="41"/>
      <c r="J23" s="167"/>
      <c r="K23" s="40"/>
      <c r="L23" s="41"/>
      <c r="M23" s="167"/>
      <c r="N23" s="40"/>
      <c r="O23" s="41"/>
      <c r="P23" s="163"/>
      <c r="Q23" s="40"/>
      <c r="R23" s="41"/>
      <c r="S23" s="41"/>
      <c r="T23" s="40"/>
      <c r="U23" s="41"/>
      <c r="V23" s="42"/>
    </row>
    <row r="24" spans="1:22">
      <c r="A24" s="36"/>
      <c r="B24" s="40"/>
      <c r="C24" s="41"/>
      <c r="D24" s="176"/>
      <c r="E24" s="40"/>
      <c r="F24" s="41"/>
      <c r="G24" s="167"/>
      <c r="H24" s="40"/>
      <c r="I24" s="41"/>
      <c r="J24" s="167"/>
      <c r="K24" s="40"/>
      <c r="L24" s="41"/>
      <c r="M24" s="167"/>
      <c r="N24" s="40"/>
      <c r="O24" s="41"/>
      <c r="P24" s="163"/>
      <c r="Q24" s="40"/>
      <c r="R24" s="41"/>
      <c r="S24" s="41"/>
      <c r="T24" s="40"/>
      <c r="U24" s="41"/>
      <c r="V24" s="42"/>
    </row>
    <row r="25" spans="1:22">
      <c r="A25" s="36"/>
      <c r="B25" s="40"/>
      <c r="C25" s="41"/>
      <c r="D25" s="176"/>
      <c r="E25" s="40"/>
      <c r="F25" s="41"/>
      <c r="G25" s="167"/>
      <c r="H25" s="40"/>
      <c r="I25" s="41"/>
      <c r="J25" s="167"/>
      <c r="K25" s="40"/>
      <c r="L25" s="41"/>
      <c r="M25" s="167"/>
      <c r="N25" s="40"/>
      <c r="O25" s="41"/>
      <c r="P25" s="163"/>
      <c r="Q25" s="40"/>
      <c r="R25" s="41"/>
      <c r="S25" s="41"/>
      <c r="T25" s="40"/>
      <c r="U25" s="41"/>
      <c r="V25" s="42"/>
    </row>
    <row r="26" spans="1:22">
      <c r="A26" s="36"/>
      <c r="B26" s="40"/>
      <c r="C26" s="41"/>
      <c r="D26" s="176"/>
      <c r="E26" s="40"/>
      <c r="F26" s="41"/>
      <c r="G26" s="167"/>
      <c r="H26" s="40"/>
      <c r="I26" s="41"/>
      <c r="J26" s="167"/>
      <c r="K26" s="40"/>
      <c r="L26" s="41"/>
      <c r="M26" s="167"/>
      <c r="N26" s="40"/>
      <c r="O26" s="41"/>
      <c r="P26" s="163"/>
      <c r="Q26" s="40"/>
      <c r="R26" s="41"/>
      <c r="S26" s="41"/>
      <c r="T26" s="40"/>
      <c r="U26" s="41"/>
      <c r="V26" s="42"/>
    </row>
    <row r="27" spans="1:22">
      <c r="A27" s="36"/>
      <c r="B27" s="40"/>
      <c r="C27" s="41"/>
      <c r="D27" s="176"/>
      <c r="E27" s="40"/>
      <c r="F27" s="41"/>
      <c r="G27" s="167"/>
      <c r="H27" s="40"/>
      <c r="I27" s="41"/>
      <c r="J27" s="167"/>
      <c r="K27" s="40"/>
      <c r="L27" s="41"/>
      <c r="M27" s="167"/>
      <c r="N27" s="40"/>
      <c r="O27" s="41"/>
      <c r="P27" s="163"/>
      <c r="Q27" s="40"/>
      <c r="R27" s="41"/>
      <c r="S27" s="41"/>
      <c r="T27" s="40"/>
      <c r="U27" s="41"/>
      <c r="V27" s="42"/>
    </row>
    <row r="28" spans="1:22">
      <c r="A28" s="36"/>
      <c r="B28" s="40"/>
      <c r="C28" s="41"/>
      <c r="D28" s="176"/>
      <c r="E28" s="40"/>
      <c r="F28" s="41"/>
      <c r="G28" s="167"/>
      <c r="H28" s="40"/>
      <c r="I28" s="41"/>
      <c r="J28" s="167"/>
      <c r="K28" s="40"/>
      <c r="L28" s="41"/>
      <c r="M28" s="167"/>
      <c r="N28" s="40"/>
      <c r="O28" s="41"/>
      <c r="P28" s="163"/>
      <c r="Q28" s="40"/>
      <c r="R28" s="41"/>
      <c r="S28" s="41"/>
      <c r="T28" s="40"/>
      <c r="U28" s="41"/>
      <c r="V28" s="42"/>
    </row>
    <row r="29" spans="1:22">
      <c r="A29" s="39"/>
      <c r="B29" s="40"/>
      <c r="C29" s="41"/>
      <c r="D29" s="176"/>
      <c r="E29" s="40"/>
      <c r="F29" s="41"/>
      <c r="G29" s="167"/>
      <c r="H29" s="40"/>
      <c r="I29" s="41"/>
      <c r="J29" s="167"/>
      <c r="K29" s="40"/>
      <c r="L29" s="41"/>
      <c r="M29" s="167"/>
      <c r="N29" s="40"/>
      <c r="O29" s="41"/>
      <c r="P29" s="163"/>
      <c r="Q29" s="40"/>
      <c r="R29" s="41"/>
      <c r="S29" s="41"/>
      <c r="T29" s="40"/>
      <c r="U29" s="41"/>
      <c r="V29" s="42"/>
    </row>
    <row r="30" spans="1:22" ht="15.75" thickBot="1">
      <c r="A30" s="148"/>
      <c r="B30" s="149"/>
      <c r="C30" s="150"/>
      <c r="D30" s="177"/>
      <c r="E30" s="149"/>
      <c r="F30" s="150"/>
      <c r="G30" s="170"/>
      <c r="H30" s="149"/>
      <c r="I30" s="150"/>
      <c r="J30" s="170"/>
      <c r="K30" s="149"/>
      <c r="L30" s="150"/>
      <c r="M30" s="170"/>
      <c r="N30" s="149"/>
      <c r="O30" s="150"/>
      <c r="P30" s="164"/>
      <c r="Q30" s="149"/>
      <c r="R30" s="150"/>
      <c r="S30" s="150"/>
      <c r="T30" s="149"/>
      <c r="U30" s="150"/>
      <c r="V30" s="151"/>
    </row>
    <row r="31" spans="1:22" s="179" customFormat="1" ht="16.5" thickBot="1">
      <c r="A31" s="178" t="s">
        <v>43</v>
      </c>
      <c r="B31" s="303">
        <f>SUM(D3:D30)</f>
        <v>8170</v>
      </c>
      <c r="C31" s="304"/>
      <c r="D31" s="305"/>
      <c r="E31" s="303">
        <f>SUM(G3:G30)</f>
        <v>1310</v>
      </c>
      <c r="F31" s="304"/>
      <c r="G31" s="305"/>
      <c r="H31" s="303">
        <f>SUM(J3:J30)</f>
        <v>25048.134600000001</v>
      </c>
      <c r="I31" s="304"/>
      <c r="J31" s="305"/>
      <c r="K31" s="303">
        <f>SUM(M3:M30)</f>
        <v>4989</v>
      </c>
      <c r="L31" s="304"/>
      <c r="M31" s="305"/>
      <c r="N31" s="303">
        <f>SUM(P3:P30)</f>
        <v>40575.449999999997</v>
      </c>
      <c r="O31" s="304"/>
      <c r="P31" s="305"/>
      <c r="Q31" s="303">
        <f>SUM(S3:S30)</f>
        <v>15765.75</v>
      </c>
      <c r="R31" s="304"/>
      <c r="S31" s="305"/>
      <c r="T31" s="303">
        <f>SUM(V3:V30)</f>
        <v>6678.7074999999995</v>
      </c>
      <c r="U31" s="304"/>
      <c r="V31" s="305"/>
    </row>
    <row r="32" spans="1:22" s="155" customFormat="1" ht="15.75">
      <c r="A32" s="152"/>
      <c r="B32" s="153"/>
      <c r="C32" s="153"/>
      <c r="D32" s="171"/>
      <c r="E32" s="153"/>
      <c r="F32" s="153"/>
      <c r="G32" s="171"/>
      <c r="H32" s="153"/>
      <c r="I32" s="153"/>
      <c r="J32" s="171"/>
      <c r="K32" s="153"/>
      <c r="L32" s="153"/>
      <c r="M32" s="171"/>
      <c r="N32" s="154"/>
      <c r="O32" s="154"/>
      <c r="P32" s="165"/>
      <c r="Q32" s="153"/>
      <c r="R32" s="153"/>
      <c r="S32" s="153"/>
      <c r="T32" s="154"/>
      <c r="U32" s="154"/>
      <c r="V32" s="154"/>
    </row>
    <row r="33" spans="1:22" s="181" customFormat="1" ht="18.75">
      <c r="A33" s="180" t="s">
        <v>10</v>
      </c>
      <c r="B33" s="172">
        <f>SUM(B31:V31)</f>
        <v>102537.04210000001</v>
      </c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</row>
    <row r="35" spans="1:22">
      <c r="I35"/>
    </row>
    <row r="36" spans="1:22">
      <c r="F36" s="43">
        <f>181.36</f>
        <v>181.36</v>
      </c>
      <c r="I36" s="160"/>
    </row>
    <row r="37" spans="1:22">
      <c r="F37" s="43">
        <f>F36/10</f>
        <v>18.136000000000003</v>
      </c>
      <c r="I37"/>
    </row>
    <row r="38" spans="1:22">
      <c r="F38" s="43">
        <f>F37*8</f>
        <v>145.08800000000002</v>
      </c>
      <c r="I38"/>
    </row>
    <row r="39" spans="1:22">
      <c r="I39"/>
    </row>
    <row r="40" spans="1:22">
      <c r="I40"/>
    </row>
    <row r="41" spans="1:22">
      <c r="I41"/>
    </row>
    <row r="44" spans="1:22">
      <c r="I44" s="159"/>
    </row>
    <row r="52" spans="9:9">
      <c r="I52" s="159"/>
    </row>
    <row r="61" spans="9:9">
      <c r="I61" s="159"/>
    </row>
    <row r="67" spans="9:9">
      <c r="I67" s="159"/>
    </row>
  </sheetData>
  <mergeCells count="15">
    <mergeCell ref="A1:A2"/>
    <mergeCell ref="H1:J1"/>
    <mergeCell ref="Q1:S1"/>
    <mergeCell ref="N1:P1"/>
    <mergeCell ref="T1:V1"/>
    <mergeCell ref="N31:P31"/>
    <mergeCell ref="T31:V31"/>
    <mergeCell ref="K1:M1"/>
    <mergeCell ref="E1:G1"/>
    <mergeCell ref="B1:D1"/>
    <mergeCell ref="B31:D31"/>
    <mergeCell ref="E31:G31"/>
    <mergeCell ref="H31:J31"/>
    <mergeCell ref="K31:M31"/>
    <mergeCell ref="Q31:S31"/>
  </mergeCells>
  <pageMargins left="0.7" right="0.7" top="0.75" bottom="0.75" header="0.3" footer="0.3"/>
  <pageSetup paperSize="9" scale="56" orientation="landscape" r:id="rId1"/>
  <ignoredErrors>
    <ignoredError sqref="H11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D83"/>
  <sheetViews>
    <sheetView topLeftCell="A52" workbookViewId="0">
      <selection activeCell="C82" sqref="C82"/>
    </sheetView>
  </sheetViews>
  <sheetFormatPr defaultRowHeight="15"/>
  <cols>
    <col min="1" max="1" width="9.85546875" style="26" bestFit="1" customWidth="1"/>
    <col min="2" max="2" width="12.7109375" style="15" bestFit="1" customWidth="1"/>
    <col min="3" max="3" width="15.140625" style="15" bestFit="1" customWidth="1"/>
    <col min="4" max="4" width="33.42578125" style="6" bestFit="1" customWidth="1"/>
    <col min="5" max="6" width="9.140625" style="4"/>
    <col min="7" max="8" width="9.7109375" style="4" bestFit="1" customWidth="1"/>
    <col min="9" max="16384" width="9.140625" style="4"/>
  </cols>
  <sheetData>
    <row r="1" spans="1:4" s="2" customFormat="1">
      <c r="A1" s="20" t="s">
        <v>0</v>
      </c>
      <c r="B1" s="7" t="s">
        <v>1</v>
      </c>
      <c r="C1" s="7" t="s">
        <v>2</v>
      </c>
      <c r="D1" s="1" t="s">
        <v>3</v>
      </c>
    </row>
    <row r="2" spans="1:4">
      <c r="A2" s="21">
        <v>42076</v>
      </c>
      <c r="B2" s="8"/>
      <c r="C2" s="8">
        <v>140000</v>
      </c>
      <c r="D2" s="3" t="s">
        <v>4</v>
      </c>
    </row>
    <row r="3" spans="1:4">
      <c r="A3" s="21">
        <v>42078</v>
      </c>
      <c r="B3" s="8"/>
      <c r="C3" s="8">
        <v>150000</v>
      </c>
      <c r="D3" s="3" t="s">
        <v>5</v>
      </c>
    </row>
    <row r="4" spans="1:4">
      <c r="A4" s="21">
        <v>42079</v>
      </c>
      <c r="B4" s="8"/>
      <c r="C4" s="8">
        <v>140000</v>
      </c>
      <c r="D4" s="3" t="s">
        <v>7</v>
      </c>
    </row>
    <row r="5" spans="1:4">
      <c r="A5" s="21">
        <v>42080</v>
      </c>
      <c r="B5" s="8"/>
      <c r="C5" s="8">
        <v>140000</v>
      </c>
      <c r="D5" s="3" t="s">
        <v>8</v>
      </c>
    </row>
    <row r="6" spans="1:4">
      <c r="A6" s="21">
        <v>42080</v>
      </c>
      <c r="B6" s="8"/>
      <c r="C6" s="8">
        <v>140000</v>
      </c>
      <c r="D6" s="3" t="s">
        <v>6</v>
      </c>
    </row>
    <row r="7" spans="1:4">
      <c r="A7" s="21">
        <v>42086</v>
      </c>
      <c r="B7" s="8"/>
      <c r="C7" s="8">
        <v>140000</v>
      </c>
      <c r="D7" s="3" t="s">
        <v>9</v>
      </c>
    </row>
    <row r="8" spans="1:4">
      <c r="A8" s="21">
        <v>42089</v>
      </c>
      <c r="B8" s="8"/>
      <c r="C8" s="8">
        <v>150000</v>
      </c>
      <c r="D8" s="3" t="s">
        <v>16</v>
      </c>
    </row>
    <row r="9" spans="1:4">
      <c r="A9" s="21">
        <v>42100</v>
      </c>
      <c r="B9" s="8"/>
      <c r="C9" s="8">
        <v>50000</v>
      </c>
      <c r="D9" s="3" t="s">
        <v>4</v>
      </c>
    </row>
    <row r="10" spans="1:4">
      <c r="A10" s="21">
        <v>42101</v>
      </c>
      <c r="B10" s="8"/>
      <c r="C10" s="8">
        <v>50000</v>
      </c>
      <c r="D10" s="3" t="s">
        <v>4</v>
      </c>
    </row>
    <row r="11" spans="1:4">
      <c r="A11" s="21">
        <v>42102</v>
      </c>
      <c r="B11" s="8"/>
      <c r="C11" s="8">
        <v>50000</v>
      </c>
      <c r="D11" s="3" t="s">
        <v>16</v>
      </c>
    </row>
    <row r="12" spans="1:4">
      <c r="A12" s="21">
        <v>42102</v>
      </c>
      <c r="B12" s="8"/>
      <c r="C12" s="8">
        <v>40000</v>
      </c>
      <c r="D12" s="3" t="s">
        <v>4</v>
      </c>
    </row>
    <row r="13" spans="1:4">
      <c r="A13" s="21">
        <v>42103</v>
      </c>
      <c r="B13" s="8"/>
      <c r="C13" s="8">
        <v>100000</v>
      </c>
      <c r="D13" s="3" t="s">
        <v>5</v>
      </c>
    </row>
    <row r="14" spans="1:4">
      <c r="A14" s="22">
        <v>42104</v>
      </c>
      <c r="B14" s="9"/>
      <c r="C14" s="9">
        <v>100000</v>
      </c>
      <c r="D14" s="10" t="s">
        <v>17</v>
      </c>
    </row>
    <row r="15" spans="1:4">
      <c r="A15" s="22">
        <v>42104</v>
      </c>
      <c r="B15" s="9"/>
      <c r="C15" s="9">
        <v>100000</v>
      </c>
      <c r="D15" s="10" t="s">
        <v>18</v>
      </c>
    </row>
    <row r="16" spans="1:4">
      <c r="A16" s="21">
        <v>42104</v>
      </c>
      <c r="B16" s="8"/>
      <c r="C16" s="8">
        <v>85000</v>
      </c>
      <c r="D16" s="3" t="s">
        <v>6</v>
      </c>
    </row>
    <row r="17" spans="1:4">
      <c r="A17" s="22">
        <v>42104</v>
      </c>
      <c r="B17" s="9"/>
      <c r="C17" s="9">
        <v>1000</v>
      </c>
      <c r="D17" s="10" t="s">
        <v>19</v>
      </c>
    </row>
    <row r="18" spans="1:4">
      <c r="A18" s="22">
        <v>42107</v>
      </c>
      <c r="B18" s="9"/>
      <c r="C18" s="9">
        <v>140000</v>
      </c>
      <c r="D18" s="10" t="s">
        <v>20</v>
      </c>
    </row>
    <row r="19" spans="1:4">
      <c r="A19" s="22">
        <v>42107</v>
      </c>
      <c r="B19" s="9"/>
      <c r="C19" s="9">
        <v>143000</v>
      </c>
      <c r="D19" s="10" t="s">
        <v>21</v>
      </c>
    </row>
    <row r="20" spans="1:4">
      <c r="A20" s="22">
        <v>42107</v>
      </c>
      <c r="B20" s="9"/>
      <c r="C20" s="9">
        <v>50000</v>
      </c>
      <c r="D20" s="10" t="s">
        <v>22</v>
      </c>
    </row>
    <row r="21" spans="1:4">
      <c r="A21" s="22">
        <v>42107</v>
      </c>
      <c r="B21" s="9"/>
      <c r="C21" s="9">
        <v>149000</v>
      </c>
      <c r="D21" s="10" t="s">
        <v>19</v>
      </c>
    </row>
    <row r="22" spans="1:4">
      <c r="A22" s="21">
        <v>42123</v>
      </c>
      <c r="B22" s="8"/>
      <c r="C22" s="8">
        <v>35000</v>
      </c>
      <c r="D22" s="3" t="s">
        <v>4</v>
      </c>
    </row>
    <row r="23" spans="1:4">
      <c r="A23" s="21">
        <v>42124</v>
      </c>
      <c r="B23" s="8"/>
      <c r="C23" s="8">
        <v>50000</v>
      </c>
      <c r="D23" s="3" t="s">
        <v>4</v>
      </c>
    </row>
    <row r="24" spans="1:4">
      <c r="A24" s="23">
        <v>42107</v>
      </c>
      <c r="B24" s="8">
        <v>650000</v>
      </c>
      <c r="C24" s="8"/>
      <c r="D24" s="3" t="s">
        <v>13</v>
      </c>
    </row>
    <row r="25" spans="1:4">
      <c r="A25" s="23">
        <v>42107</v>
      </c>
      <c r="B25" s="8">
        <v>54000</v>
      </c>
      <c r="C25" s="8"/>
      <c r="D25" s="3" t="s">
        <v>14</v>
      </c>
    </row>
    <row r="26" spans="1:4">
      <c r="A26" s="21">
        <v>42179</v>
      </c>
      <c r="B26" s="8">
        <v>2000</v>
      </c>
      <c r="C26" s="8"/>
      <c r="D26" s="5" t="s">
        <v>34</v>
      </c>
    </row>
    <row r="27" spans="1:4">
      <c r="A27" s="23">
        <v>42187</v>
      </c>
      <c r="B27" s="8">
        <v>8000</v>
      </c>
      <c r="C27" s="8"/>
      <c r="D27" s="3" t="s">
        <v>34</v>
      </c>
    </row>
    <row r="28" spans="1:4">
      <c r="A28" s="27">
        <v>42206</v>
      </c>
      <c r="B28" s="28"/>
      <c r="C28" s="28">
        <v>100000</v>
      </c>
      <c r="D28" s="29" t="s">
        <v>8</v>
      </c>
    </row>
    <row r="29" spans="1:4">
      <c r="A29" s="21">
        <v>42219</v>
      </c>
      <c r="B29" s="8">
        <v>350000</v>
      </c>
      <c r="C29" s="8"/>
      <c r="D29" s="5" t="s">
        <v>34</v>
      </c>
    </row>
    <row r="30" spans="1:4">
      <c r="A30" s="21">
        <v>42226</v>
      </c>
      <c r="B30" s="8"/>
      <c r="C30" s="8">
        <v>99750</v>
      </c>
      <c r="D30" s="5" t="s">
        <v>45</v>
      </c>
    </row>
    <row r="31" spans="1:4">
      <c r="A31" s="21">
        <v>42229</v>
      </c>
      <c r="B31" s="8"/>
      <c r="C31" s="8">
        <v>243500</v>
      </c>
      <c r="D31" s="5" t="s">
        <v>46</v>
      </c>
    </row>
    <row r="32" spans="1:4">
      <c r="A32" s="21">
        <v>42229</v>
      </c>
      <c r="B32" s="8">
        <v>345000</v>
      </c>
      <c r="C32" s="8"/>
      <c r="D32" s="5" t="s">
        <v>47</v>
      </c>
    </row>
    <row r="33" spans="1:4">
      <c r="A33" s="21">
        <v>42234</v>
      </c>
      <c r="B33" s="8"/>
      <c r="C33" s="8">
        <v>237000</v>
      </c>
      <c r="D33" s="5" t="s">
        <v>5</v>
      </c>
    </row>
    <row r="34" spans="1:4">
      <c r="A34" s="21">
        <v>42233</v>
      </c>
      <c r="B34" s="8">
        <v>10000</v>
      </c>
      <c r="C34" s="8"/>
      <c r="D34" s="5" t="s">
        <v>48</v>
      </c>
    </row>
    <row r="35" spans="1:4">
      <c r="A35" s="21">
        <v>42240</v>
      </c>
      <c r="B35" s="8">
        <v>10000</v>
      </c>
      <c r="C35" s="8"/>
      <c r="D35" s="5" t="s">
        <v>48</v>
      </c>
    </row>
    <row r="36" spans="1:4">
      <c r="A36" s="21">
        <v>42247</v>
      </c>
      <c r="B36" s="8">
        <v>10000</v>
      </c>
      <c r="C36" s="8"/>
      <c r="D36" s="5" t="s">
        <v>48</v>
      </c>
    </row>
    <row r="37" spans="1:4">
      <c r="A37" s="21">
        <v>42256</v>
      </c>
      <c r="B37" s="8">
        <v>10000</v>
      </c>
      <c r="C37" s="8"/>
      <c r="D37" s="5" t="s">
        <v>48</v>
      </c>
    </row>
    <row r="38" spans="1:4">
      <c r="A38" s="21">
        <v>42262</v>
      </c>
      <c r="B38" s="8">
        <v>10000</v>
      </c>
      <c r="C38" s="8"/>
      <c r="D38" s="5" t="s">
        <v>48</v>
      </c>
    </row>
    <row r="39" spans="1:4">
      <c r="A39" s="21">
        <v>42263</v>
      </c>
      <c r="B39" s="8">
        <v>10000</v>
      </c>
      <c r="C39" s="8"/>
      <c r="D39" s="5" t="s">
        <v>48</v>
      </c>
    </row>
    <row r="40" spans="1:4">
      <c r="A40" s="21">
        <v>42264</v>
      </c>
      <c r="B40" s="8">
        <v>10000</v>
      </c>
      <c r="C40" s="8"/>
      <c r="D40" s="5" t="s">
        <v>48</v>
      </c>
    </row>
    <row r="41" spans="1:4">
      <c r="A41" s="21">
        <v>42265</v>
      </c>
      <c r="B41" s="8">
        <v>150000</v>
      </c>
      <c r="C41" s="8"/>
      <c r="D41" s="5" t="s">
        <v>34</v>
      </c>
    </row>
    <row r="42" spans="1:4">
      <c r="A42" s="21">
        <v>42265</v>
      </c>
      <c r="B42" s="8">
        <v>10000</v>
      </c>
      <c r="C42" s="8"/>
      <c r="D42" s="5" t="s">
        <v>48</v>
      </c>
    </row>
    <row r="43" spans="1:4">
      <c r="A43" s="21">
        <v>42266</v>
      </c>
      <c r="B43" s="8">
        <v>10000</v>
      </c>
      <c r="C43" s="8"/>
      <c r="D43" s="5" t="s">
        <v>48</v>
      </c>
    </row>
    <row r="44" spans="1:4">
      <c r="A44" s="21">
        <v>42268</v>
      </c>
      <c r="B44" s="8">
        <v>100000</v>
      </c>
      <c r="C44" s="8"/>
      <c r="D44" s="5" t="s">
        <v>34</v>
      </c>
    </row>
    <row r="45" spans="1:4">
      <c r="A45" s="21">
        <v>42268</v>
      </c>
      <c r="B45" s="8">
        <v>10000</v>
      </c>
      <c r="C45" s="8"/>
      <c r="D45" s="5" t="s">
        <v>48</v>
      </c>
    </row>
    <row r="46" spans="1:4">
      <c r="A46" s="51">
        <v>42269</v>
      </c>
      <c r="B46" s="53">
        <v>10000</v>
      </c>
      <c r="C46" s="8"/>
      <c r="D46" s="5" t="s">
        <v>48</v>
      </c>
    </row>
    <row r="47" spans="1:4">
      <c r="A47" s="51">
        <v>42270</v>
      </c>
      <c r="B47" s="53">
        <v>10000</v>
      </c>
      <c r="C47" s="8"/>
      <c r="D47" s="5" t="s">
        <v>48</v>
      </c>
    </row>
    <row r="48" spans="1:4">
      <c r="A48" s="51">
        <v>42271</v>
      </c>
      <c r="B48" s="53">
        <v>10000</v>
      </c>
      <c r="C48" s="8"/>
      <c r="D48" s="5" t="s">
        <v>48</v>
      </c>
    </row>
    <row r="49" spans="1:4">
      <c r="A49" s="51">
        <v>42272</v>
      </c>
      <c r="B49" s="53">
        <v>10000</v>
      </c>
      <c r="C49" s="8"/>
      <c r="D49" s="5" t="s">
        <v>48</v>
      </c>
    </row>
    <row r="50" spans="1:4">
      <c r="A50" s="51">
        <v>42275</v>
      </c>
      <c r="B50" s="53">
        <v>10000</v>
      </c>
      <c r="C50" s="8"/>
      <c r="D50" s="5" t="s">
        <v>48</v>
      </c>
    </row>
    <row r="51" spans="1:4">
      <c r="A51" s="51">
        <v>42277</v>
      </c>
      <c r="B51" s="53">
        <v>10000</v>
      </c>
      <c r="C51" s="8"/>
      <c r="D51" s="5" t="s">
        <v>48</v>
      </c>
    </row>
    <row r="52" spans="1:4">
      <c r="A52" s="229">
        <v>42272</v>
      </c>
      <c r="B52" s="230">
        <v>100000</v>
      </c>
      <c r="C52" s="8"/>
      <c r="D52" s="5" t="s">
        <v>34</v>
      </c>
    </row>
    <row r="53" spans="1:4">
      <c r="A53" s="229">
        <v>42275</v>
      </c>
      <c r="B53" s="230">
        <v>100000</v>
      </c>
      <c r="C53" s="8"/>
      <c r="D53" s="5" t="s">
        <v>34</v>
      </c>
    </row>
    <row r="54" spans="1:4">
      <c r="A54" s="229">
        <v>42278</v>
      </c>
      <c r="B54" s="230">
        <v>100000</v>
      </c>
      <c r="C54" s="8"/>
      <c r="D54" s="5" t="s">
        <v>34</v>
      </c>
    </row>
    <row r="55" spans="1:4">
      <c r="A55" s="229">
        <v>42279</v>
      </c>
      <c r="B55" s="230">
        <v>150200</v>
      </c>
      <c r="C55" s="8"/>
      <c r="D55" s="5" t="s">
        <v>189</v>
      </c>
    </row>
    <row r="56" spans="1:4">
      <c r="A56" s="229">
        <v>42279</v>
      </c>
      <c r="B56" s="230">
        <v>49800</v>
      </c>
      <c r="C56" s="8"/>
      <c r="D56" s="5" t="s">
        <v>34</v>
      </c>
    </row>
    <row r="57" spans="1:4">
      <c r="A57" s="229">
        <v>42282</v>
      </c>
      <c r="B57" s="230">
        <v>100000</v>
      </c>
      <c r="C57" s="8"/>
      <c r="D57" s="5" t="s">
        <v>34</v>
      </c>
    </row>
    <row r="58" spans="1:4">
      <c r="A58" s="229">
        <v>42279</v>
      </c>
      <c r="B58" s="8"/>
      <c r="C58" s="8">
        <v>100000</v>
      </c>
      <c r="D58" s="5" t="s">
        <v>8</v>
      </c>
    </row>
    <row r="59" spans="1:4">
      <c r="A59" s="229">
        <v>42279</v>
      </c>
      <c r="B59" s="8"/>
      <c r="C59" s="8">
        <v>200000</v>
      </c>
      <c r="D59" s="5" t="s">
        <v>9</v>
      </c>
    </row>
    <row r="60" spans="1:4">
      <c r="A60" s="229">
        <v>42279</v>
      </c>
      <c r="B60" s="8"/>
      <c r="C60" s="8">
        <v>195234</v>
      </c>
      <c r="D60" s="5" t="s">
        <v>7</v>
      </c>
    </row>
    <row r="61" spans="1:4">
      <c r="A61" s="229">
        <v>42282</v>
      </c>
      <c r="B61" s="8"/>
      <c r="C61" s="8">
        <v>34553</v>
      </c>
      <c r="D61" s="5" t="s">
        <v>6</v>
      </c>
    </row>
    <row r="62" spans="1:4">
      <c r="A62" s="21">
        <v>42284</v>
      </c>
      <c r="B62" s="8">
        <v>20000</v>
      </c>
      <c r="C62" s="8"/>
      <c r="D62" s="5" t="s">
        <v>48</v>
      </c>
    </row>
    <row r="63" spans="1:4">
      <c r="A63" s="249">
        <v>42286</v>
      </c>
      <c r="B63" s="8">
        <v>40000</v>
      </c>
      <c r="C63" s="8"/>
      <c r="D63" s="5" t="s">
        <v>48</v>
      </c>
    </row>
    <row r="64" spans="1:4">
      <c r="A64" s="21">
        <v>42290</v>
      </c>
      <c r="B64" s="8">
        <v>200000</v>
      </c>
      <c r="C64" s="8"/>
      <c r="D64" s="5" t="s">
        <v>34</v>
      </c>
    </row>
    <row r="65" spans="1:4">
      <c r="A65" s="21">
        <v>42292</v>
      </c>
      <c r="B65" s="8">
        <v>46000</v>
      </c>
      <c r="C65" s="8"/>
      <c r="D65" s="5" t="s">
        <v>58</v>
      </c>
    </row>
    <row r="66" spans="1:4">
      <c r="A66" s="21">
        <v>42296</v>
      </c>
      <c r="B66" s="8"/>
      <c r="C66" s="8">
        <v>5750</v>
      </c>
      <c r="D66" s="5" t="s">
        <v>297</v>
      </c>
    </row>
    <row r="67" spans="1:4">
      <c r="A67" s="21">
        <v>42296</v>
      </c>
      <c r="B67" s="8">
        <v>20000</v>
      </c>
      <c r="C67" s="8"/>
      <c r="D67" s="5" t="s">
        <v>48</v>
      </c>
    </row>
    <row r="68" spans="1:4">
      <c r="A68" s="21">
        <v>42299</v>
      </c>
      <c r="B68" s="8">
        <v>20000</v>
      </c>
      <c r="C68" s="8"/>
      <c r="D68" s="5" t="s">
        <v>48</v>
      </c>
    </row>
    <row r="69" spans="1:4">
      <c r="A69" s="21">
        <v>42300</v>
      </c>
      <c r="B69" s="8">
        <v>50000</v>
      </c>
      <c r="C69" s="8"/>
      <c r="D69" s="5" t="s">
        <v>34</v>
      </c>
    </row>
    <row r="70" spans="1:4">
      <c r="A70" s="21">
        <v>42307</v>
      </c>
      <c r="B70" s="8">
        <v>50000</v>
      </c>
      <c r="C70" s="8"/>
      <c r="D70" s="5" t="s">
        <v>34</v>
      </c>
    </row>
    <row r="71" spans="1:4">
      <c r="A71" s="21">
        <v>42306</v>
      </c>
      <c r="B71" s="8"/>
      <c r="C71" s="8">
        <v>30000</v>
      </c>
      <c r="D71" s="5" t="s">
        <v>8</v>
      </c>
    </row>
    <row r="72" spans="1:4">
      <c r="A72" s="21">
        <v>42306</v>
      </c>
      <c r="B72" s="8"/>
      <c r="C72" s="8">
        <v>15011</v>
      </c>
      <c r="D72" s="5" t="s">
        <v>8</v>
      </c>
    </row>
    <row r="73" spans="1:4">
      <c r="A73" s="21"/>
      <c r="B73" s="8"/>
      <c r="C73" s="8"/>
      <c r="D73" s="5"/>
    </row>
    <row r="74" spans="1:4">
      <c r="A74" s="21"/>
      <c r="B74" s="8"/>
      <c r="C74" s="8"/>
      <c r="D74" s="5"/>
    </row>
    <row r="75" spans="1:4">
      <c r="A75" s="21"/>
      <c r="B75" s="8"/>
      <c r="C75" s="8"/>
      <c r="D75" s="5"/>
    </row>
    <row r="76" spans="1:4">
      <c r="A76" s="21"/>
      <c r="B76" s="8"/>
      <c r="C76" s="8"/>
      <c r="D76" s="5"/>
    </row>
    <row r="77" spans="1:4">
      <c r="A77" s="21"/>
      <c r="B77" s="8"/>
      <c r="C77" s="8"/>
      <c r="D77" s="5"/>
    </row>
    <row r="78" spans="1:4">
      <c r="A78" s="21"/>
      <c r="B78" s="8"/>
      <c r="C78" s="8"/>
      <c r="D78" s="5"/>
    </row>
    <row r="79" spans="1:4">
      <c r="A79" s="21"/>
      <c r="B79" s="8"/>
      <c r="C79" s="8"/>
      <c r="D79" s="5"/>
    </row>
    <row r="80" spans="1:4">
      <c r="A80" s="21"/>
      <c r="B80" s="8"/>
      <c r="C80" s="8"/>
      <c r="D80" s="5"/>
    </row>
    <row r="81" spans="1:4" s="13" customFormat="1" ht="18.75">
      <c r="A81" s="24" t="s">
        <v>10</v>
      </c>
      <c r="B81" s="11">
        <f>SUM(B2:B80)+276</f>
        <v>2865276</v>
      </c>
      <c r="C81" s="11">
        <f>SUM(C2:C80)</f>
        <v>3403798</v>
      </c>
      <c r="D81" s="12"/>
    </row>
    <row r="82" spans="1:4" s="13" customFormat="1" ht="18.75">
      <c r="A82" s="25"/>
      <c r="B82" s="14"/>
      <c r="C82" s="30">
        <f>C81-B81</f>
        <v>538522</v>
      </c>
      <c r="D82" s="31"/>
    </row>
    <row r="83" spans="1:4">
      <c r="D83" s="15"/>
    </row>
  </sheetData>
  <autoFilter ref="D1:D83"/>
  <pageMargins left="0.7" right="0.7" top="0.75" bottom="0.75" header="0.3" footer="0.3"/>
  <pageSetup scale="97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D27"/>
  <sheetViews>
    <sheetView workbookViewId="0">
      <selection activeCell="H12" sqref="H12"/>
    </sheetView>
  </sheetViews>
  <sheetFormatPr defaultRowHeight="15"/>
  <cols>
    <col min="1" max="1" width="2.42578125" customWidth="1"/>
    <col min="2" max="2" width="9.7109375" bestFit="1" customWidth="1"/>
    <col min="3" max="3" width="14.5703125" bestFit="1" customWidth="1"/>
    <col min="4" max="4" width="10.5703125" bestFit="1" customWidth="1"/>
  </cols>
  <sheetData>
    <row r="1" spans="2:4" ht="18.75">
      <c r="B1" s="16" t="s">
        <v>50</v>
      </c>
    </row>
    <row r="2" spans="2:4">
      <c r="B2" s="66" t="s">
        <v>0</v>
      </c>
      <c r="C2" s="66" t="s">
        <v>88</v>
      </c>
      <c r="D2" s="66" t="s">
        <v>36</v>
      </c>
    </row>
    <row r="3" spans="2:4">
      <c r="B3" s="23">
        <v>42107</v>
      </c>
      <c r="C3" s="3" t="s">
        <v>13</v>
      </c>
      <c r="D3" s="8">
        <v>650000</v>
      </c>
    </row>
    <row r="4" spans="2:4">
      <c r="B4" s="23">
        <v>42107</v>
      </c>
      <c r="C4" s="3" t="s">
        <v>14</v>
      </c>
      <c r="D4" s="8">
        <v>54000</v>
      </c>
    </row>
    <row r="5" spans="2:4">
      <c r="B5" s="21">
        <v>42292</v>
      </c>
      <c r="C5" s="47" t="s">
        <v>98</v>
      </c>
      <c r="D5" s="8">
        <v>46000</v>
      </c>
    </row>
    <row r="6" spans="2:4">
      <c r="B6" s="21"/>
      <c r="C6" s="47"/>
      <c r="D6" s="8"/>
    </row>
    <row r="7" spans="2:4">
      <c r="B7" s="48"/>
      <c r="C7" s="47"/>
      <c r="D7" s="48"/>
    </row>
    <row r="8" spans="2:4">
      <c r="B8" s="48"/>
      <c r="C8" s="47"/>
      <c r="D8" s="48"/>
    </row>
    <row r="9" spans="2:4">
      <c r="B9" s="48"/>
      <c r="C9" s="47"/>
      <c r="D9" s="48"/>
    </row>
    <row r="10" spans="2:4">
      <c r="B10" s="48"/>
      <c r="C10" s="47"/>
      <c r="D10" s="48"/>
    </row>
    <row r="11" spans="2:4">
      <c r="B11" s="48"/>
      <c r="C11" s="47"/>
      <c r="D11" s="48"/>
    </row>
    <row r="12" spans="2:4">
      <c r="B12" s="48"/>
      <c r="C12" s="47"/>
      <c r="D12" s="48"/>
    </row>
    <row r="13" spans="2:4">
      <c r="B13" s="47"/>
      <c r="C13" s="47"/>
      <c r="D13" s="47"/>
    </row>
    <row r="14" spans="2:4">
      <c r="B14" s="47"/>
      <c r="C14" s="47"/>
      <c r="D14" s="47"/>
    </row>
    <row r="15" spans="2:4">
      <c r="B15" s="47"/>
      <c r="C15" s="47"/>
      <c r="D15" s="47"/>
    </row>
    <row r="16" spans="2:4">
      <c r="B16" s="47"/>
      <c r="C16" s="47"/>
      <c r="D16" s="47"/>
    </row>
    <row r="17" spans="2:4">
      <c r="B17" s="47"/>
      <c r="C17" s="47"/>
      <c r="D17" s="47"/>
    </row>
    <row r="18" spans="2:4">
      <c r="B18" s="47"/>
      <c r="C18" s="47"/>
      <c r="D18" s="47"/>
    </row>
    <row r="19" spans="2:4">
      <c r="B19" s="47"/>
      <c r="C19" s="47"/>
      <c r="D19" s="47"/>
    </row>
    <row r="20" spans="2:4">
      <c r="B20" s="47"/>
      <c r="C20" s="47"/>
      <c r="D20" s="47"/>
    </row>
    <row r="21" spans="2:4">
      <c r="B21" s="47"/>
      <c r="C21" s="47"/>
      <c r="D21" s="47"/>
    </row>
    <row r="22" spans="2:4">
      <c r="B22" s="47"/>
      <c r="C22" s="47"/>
      <c r="D22" s="47"/>
    </row>
    <row r="23" spans="2:4">
      <c r="B23" s="47"/>
      <c r="C23" s="47"/>
      <c r="D23" s="47"/>
    </row>
    <row r="24" spans="2:4">
      <c r="B24" s="47"/>
      <c r="C24" s="47"/>
      <c r="D24" s="47"/>
    </row>
    <row r="25" spans="2:4">
      <c r="B25" s="47"/>
      <c r="C25" s="47"/>
      <c r="D25" s="47"/>
    </row>
    <row r="26" spans="2:4">
      <c r="B26" s="47"/>
      <c r="C26" s="47"/>
      <c r="D26" s="47"/>
    </row>
    <row r="27" spans="2:4" s="16" customFormat="1" ht="18.75">
      <c r="B27" s="192" t="s">
        <v>33</v>
      </c>
      <c r="C27" s="192"/>
      <c r="D27" s="193">
        <f>SUM(D3:D26)</f>
        <v>750000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D27"/>
  <sheetViews>
    <sheetView workbookViewId="0">
      <selection activeCell="L34" sqref="L34"/>
    </sheetView>
  </sheetViews>
  <sheetFormatPr defaultRowHeight="15"/>
  <cols>
    <col min="1" max="1" width="2.42578125" customWidth="1"/>
    <col min="2" max="2" width="9.7109375" bestFit="1" customWidth="1"/>
    <col min="3" max="3" width="10.85546875" customWidth="1"/>
    <col min="4" max="4" width="10.5703125" bestFit="1" customWidth="1"/>
  </cols>
  <sheetData>
    <row r="1" spans="2:4" ht="18.75">
      <c r="B1" s="16" t="s">
        <v>49</v>
      </c>
    </row>
    <row r="2" spans="2:4">
      <c r="B2" s="46" t="s">
        <v>0</v>
      </c>
      <c r="C2" s="47" t="s">
        <v>77</v>
      </c>
      <c r="D2" s="47" t="s">
        <v>36</v>
      </c>
    </row>
    <row r="3" spans="2:4">
      <c r="B3" s="21">
        <v>42229</v>
      </c>
      <c r="C3" s="8" t="s">
        <v>78</v>
      </c>
      <c r="D3" s="8">
        <v>245000</v>
      </c>
    </row>
    <row r="4" spans="2:4">
      <c r="B4" s="23"/>
      <c r="C4" s="8"/>
      <c r="D4" s="8"/>
    </row>
    <row r="5" spans="2:4">
      <c r="B5" s="21"/>
      <c r="C5" s="8"/>
      <c r="D5" s="8"/>
    </row>
    <row r="6" spans="2:4">
      <c r="B6" s="21"/>
      <c r="C6" s="8"/>
      <c r="D6" s="8"/>
    </row>
    <row r="7" spans="2:4">
      <c r="B7" s="47"/>
      <c r="C7" s="47"/>
      <c r="D7" s="47"/>
    </row>
    <row r="8" spans="2:4">
      <c r="B8" s="47"/>
      <c r="C8" s="47"/>
      <c r="D8" s="47"/>
    </row>
    <row r="9" spans="2:4">
      <c r="B9" s="47"/>
      <c r="C9" s="47"/>
      <c r="D9" s="47"/>
    </row>
    <row r="10" spans="2:4">
      <c r="B10" s="47"/>
      <c r="C10" s="47"/>
      <c r="D10" s="47"/>
    </row>
    <row r="11" spans="2:4">
      <c r="B11" s="47"/>
      <c r="C11" s="47"/>
      <c r="D11" s="47"/>
    </row>
    <row r="12" spans="2:4">
      <c r="B12" s="47"/>
      <c r="C12" s="47"/>
      <c r="D12" s="47"/>
    </row>
    <row r="13" spans="2:4">
      <c r="B13" s="47"/>
      <c r="C13" s="47"/>
      <c r="D13" s="47"/>
    </row>
    <row r="14" spans="2:4">
      <c r="B14" s="47"/>
      <c r="C14" s="47"/>
      <c r="D14" s="47"/>
    </row>
    <row r="15" spans="2:4">
      <c r="B15" s="47"/>
      <c r="C15" s="47"/>
      <c r="D15" s="47"/>
    </row>
    <row r="16" spans="2:4">
      <c r="B16" s="47"/>
      <c r="C16" s="47"/>
      <c r="D16" s="47"/>
    </row>
    <row r="17" spans="2:4">
      <c r="B17" s="47"/>
      <c r="C17" s="47"/>
      <c r="D17" s="47"/>
    </row>
    <row r="18" spans="2:4">
      <c r="B18" s="47"/>
      <c r="C18" s="47"/>
      <c r="D18" s="47"/>
    </row>
    <row r="19" spans="2:4">
      <c r="B19" s="47"/>
      <c r="C19" s="47"/>
      <c r="D19" s="47"/>
    </row>
    <row r="20" spans="2:4">
      <c r="B20" s="47"/>
      <c r="C20" s="47"/>
      <c r="D20" s="47"/>
    </row>
    <row r="21" spans="2:4">
      <c r="B21" s="47"/>
      <c r="C21" s="47"/>
      <c r="D21" s="47"/>
    </row>
    <row r="22" spans="2:4">
      <c r="B22" s="47"/>
      <c r="C22" s="47"/>
      <c r="D22" s="47"/>
    </row>
    <row r="23" spans="2:4">
      <c r="B23" s="47"/>
      <c r="C23" s="47"/>
      <c r="D23" s="47"/>
    </row>
    <row r="24" spans="2:4">
      <c r="B24" s="47"/>
      <c r="C24" s="47"/>
      <c r="D24" s="47"/>
    </row>
    <row r="25" spans="2:4">
      <c r="B25" s="47"/>
      <c r="C25" s="47"/>
      <c r="D25" s="47"/>
    </row>
    <row r="26" spans="2:4">
      <c r="B26" s="47"/>
      <c r="C26" s="47"/>
      <c r="D26" s="47"/>
    </row>
    <row r="27" spans="2:4" s="16" customFormat="1" ht="18.75">
      <c r="B27" s="192" t="s">
        <v>33</v>
      </c>
      <c r="C27" s="192"/>
      <c r="D27" s="193">
        <f>SUM(D3:D26)</f>
        <v>245000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F30"/>
  <sheetViews>
    <sheetView topLeftCell="A7" workbookViewId="0">
      <selection activeCell="I32" sqref="I32"/>
    </sheetView>
  </sheetViews>
  <sheetFormatPr defaultRowHeight="15"/>
  <cols>
    <col min="1" max="1" width="2.42578125" customWidth="1"/>
    <col min="2" max="2" width="9.7109375" bestFit="1" customWidth="1"/>
    <col min="3" max="3" width="20.28515625" bestFit="1" customWidth="1"/>
    <col min="4" max="4" width="12.7109375" style="67" bestFit="1" customWidth="1"/>
  </cols>
  <sheetData>
    <row r="1" spans="2:6" ht="18.75">
      <c r="B1" s="16" t="s">
        <v>34</v>
      </c>
    </row>
    <row r="2" spans="2:6">
      <c r="B2" s="46" t="s">
        <v>0</v>
      </c>
      <c r="C2" s="68" t="s">
        <v>88</v>
      </c>
      <c r="D2" s="47" t="s">
        <v>36</v>
      </c>
    </row>
    <row r="3" spans="2:6">
      <c r="B3" s="21">
        <v>42179</v>
      </c>
      <c r="C3" s="69" t="s">
        <v>84</v>
      </c>
      <c r="D3" s="8">
        <v>2000</v>
      </c>
    </row>
    <row r="4" spans="2:6">
      <c r="B4" s="23">
        <v>42187</v>
      </c>
      <c r="C4" s="69" t="s">
        <v>84</v>
      </c>
      <c r="D4" s="8">
        <v>8000</v>
      </c>
    </row>
    <row r="5" spans="2:6">
      <c r="B5" s="21">
        <v>42219</v>
      </c>
      <c r="C5" s="69" t="s">
        <v>85</v>
      </c>
      <c r="D5" s="8">
        <v>350000</v>
      </c>
    </row>
    <row r="6" spans="2:6">
      <c r="B6" s="21">
        <v>42265</v>
      </c>
      <c r="C6" s="69" t="s">
        <v>86</v>
      </c>
      <c r="D6" s="8">
        <v>150000</v>
      </c>
    </row>
    <row r="7" spans="2:6">
      <c r="B7" s="21">
        <v>42268</v>
      </c>
      <c r="C7" s="69" t="s">
        <v>119</v>
      </c>
      <c r="D7" s="8">
        <v>100000</v>
      </c>
    </row>
    <row r="8" spans="2:6">
      <c r="B8" s="21">
        <v>42272</v>
      </c>
      <c r="C8" s="69" t="s">
        <v>163</v>
      </c>
      <c r="D8" s="8">
        <v>100000</v>
      </c>
    </row>
    <row r="9" spans="2:6">
      <c r="B9" s="21">
        <v>42275</v>
      </c>
      <c r="C9" s="69" t="s">
        <v>165</v>
      </c>
      <c r="D9" s="8">
        <v>100000</v>
      </c>
    </row>
    <row r="10" spans="2:6">
      <c r="B10" s="21">
        <v>42278</v>
      </c>
      <c r="C10" s="217" t="s">
        <v>169</v>
      </c>
      <c r="D10" s="8">
        <v>100000</v>
      </c>
    </row>
    <row r="11" spans="2:6">
      <c r="B11" s="21">
        <v>42279</v>
      </c>
      <c r="C11" s="217" t="s">
        <v>97</v>
      </c>
      <c r="D11" s="8">
        <v>150200</v>
      </c>
    </row>
    <row r="12" spans="2:6">
      <c r="B12" s="21">
        <v>42279</v>
      </c>
      <c r="C12" s="217" t="s">
        <v>170</v>
      </c>
      <c r="D12" s="8">
        <f>200000-D11</f>
        <v>49800</v>
      </c>
    </row>
    <row r="13" spans="2:6">
      <c r="B13" s="21">
        <v>42282</v>
      </c>
      <c r="C13" s="217" t="s">
        <v>173</v>
      </c>
      <c r="D13" s="8">
        <v>100000</v>
      </c>
      <c r="F13" s="19"/>
    </row>
    <row r="14" spans="2:6">
      <c r="B14" s="249">
        <v>42290</v>
      </c>
      <c r="C14" s="217" t="s">
        <v>253</v>
      </c>
      <c r="D14" s="8">
        <v>200000</v>
      </c>
    </row>
    <row r="15" spans="2:6">
      <c r="B15" s="21">
        <v>42300</v>
      </c>
      <c r="C15" s="217" t="s">
        <v>298</v>
      </c>
      <c r="D15" s="8">
        <v>50000</v>
      </c>
    </row>
    <row r="16" spans="2:6">
      <c r="B16" s="21">
        <v>42307</v>
      </c>
      <c r="C16" s="217" t="s">
        <v>303</v>
      </c>
      <c r="D16" s="8">
        <v>50000</v>
      </c>
    </row>
    <row r="17" spans="2:4">
      <c r="B17" s="21">
        <v>42312</v>
      </c>
      <c r="C17" s="68" t="s">
        <v>96</v>
      </c>
      <c r="D17" s="8">
        <v>15000</v>
      </c>
    </row>
    <row r="18" spans="2:4">
      <c r="B18" s="21"/>
      <c r="C18" s="68"/>
      <c r="D18" s="8"/>
    </row>
    <row r="19" spans="2:4">
      <c r="B19" s="21"/>
      <c r="C19" s="68"/>
      <c r="D19" s="8"/>
    </row>
    <row r="20" spans="2:4">
      <c r="B20" s="21"/>
      <c r="C20" s="68"/>
      <c r="D20" s="8"/>
    </row>
    <row r="21" spans="2:4">
      <c r="B21" s="21"/>
      <c r="C21" s="68"/>
      <c r="D21" s="8"/>
    </row>
    <row r="22" spans="2:4">
      <c r="B22" s="21"/>
      <c r="C22" s="68"/>
      <c r="D22" s="8"/>
    </row>
    <row r="23" spans="2:4">
      <c r="B23" s="21"/>
      <c r="C23" s="68"/>
      <c r="D23" s="8"/>
    </row>
    <row r="24" spans="2:4">
      <c r="B24" s="21"/>
      <c r="C24" s="68"/>
      <c r="D24" s="8"/>
    </row>
    <row r="25" spans="2:4">
      <c r="B25" s="21"/>
      <c r="C25" s="68"/>
      <c r="D25" s="8"/>
    </row>
    <row r="26" spans="2:4">
      <c r="B26" s="21"/>
      <c r="C26" s="68"/>
      <c r="D26" s="8"/>
    </row>
    <row r="27" spans="2:4" s="16" customFormat="1" ht="18.75">
      <c r="B27" s="21"/>
      <c r="C27" s="68"/>
      <c r="D27" s="8"/>
    </row>
    <row r="28" spans="2:4" ht="18.75">
      <c r="B28" s="192" t="s">
        <v>33</v>
      </c>
      <c r="C28" s="194"/>
      <c r="D28" s="193">
        <f>SUM(D3:D27)</f>
        <v>1525000</v>
      </c>
    </row>
    <row r="30" spans="2:4">
      <c r="C30" s="1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76"/>
  <sheetViews>
    <sheetView topLeftCell="A56" workbookViewId="0">
      <selection activeCell="F74" sqref="F74:F76"/>
    </sheetView>
  </sheetViews>
  <sheetFormatPr defaultRowHeight="15"/>
  <cols>
    <col min="1" max="1" width="2.42578125" style="50" customWidth="1"/>
    <col min="2" max="2" width="9.85546875" style="50" bestFit="1" customWidth="1"/>
    <col min="3" max="3" width="14.28515625" style="262" bestFit="1" customWidth="1"/>
    <col min="4" max="4" width="10.28515625" style="50" bestFit="1" customWidth="1"/>
    <col min="5" max="5" width="9.85546875" style="50" bestFit="1" customWidth="1"/>
    <col min="6" max="6" width="10.140625" style="262" bestFit="1" customWidth="1"/>
    <col min="7" max="7" width="5.5703125" style="50" bestFit="1" customWidth="1"/>
    <col min="8" max="8" width="10" style="55" bestFit="1" customWidth="1"/>
    <col min="9" max="9" width="50.5703125" style="50" bestFit="1" customWidth="1"/>
    <col min="10" max="10" width="14.28515625" style="262" bestFit="1" customWidth="1"/>
    <col min="11" max="11" width="9.140625" style="50"/>
    <col min="12" max="12" width="9.5703125" style="50" bestFit="1" customWidth="1"/>
    <col min="13" max="13" width="10.28515625" style="50" customWidth="1"/>
    <col min="14" max="16384" width="9.140625" style="50"/>
  </cols>
  <sheetData>
    <row r="1" spans="2:17" ht="18.75">
      <c r="B1" s="49" t="s">
        <v>51</v>
      </c>
    </row>
    <row r="2" spans="2:17" ht="18.75" customHeight="1" thickBot="1">
      <c r="B2" s="312" t="s">
        <v>2</v>
      </c>
      <c r="C2" s="313"/>
      <c r="D2" s="313"/>
      <c r="E2" s="313"/>
      <c r="F2" s="313"/>
      <c r="G2" s="313"/>
      <c r="H2" s="313" t="s">
        <v>1</v>
      </c>
      <c r="I2" s="313"/>
      <c r="J2" s="314"/>
      <c r="L2" s="310" t="s">
        <v>248</v>
      </c>
      <c r="M2" s="315" t="s">
        <v>247</v>
      </c>
      <c r="N2" s="316"/>
      <c r="O2" s="310" t="s">
        <v>88</v>
      </c>
      <c r="P2" s="310" t="s">
        <v>33</v>
      </c>
    </row>
    <row r="3" spans="2:17" ht="16.5" thickTop="1" thickBot="1">
      <c r="B3" s="61" t="s">
        <v>0</v>
      </c>
      <c r="C3" s="270" t="s">
        <v>36</v>
      </c>
      <c r="D3" s="60" t="s">
        <v>73</v>
      </c>
      <c r="E3" s="60" t="s">
        <v>0</v>
      </c>
      <c r="F3" s="270" t="s">
        <v>36</v>
      </c>
      <c r="G3" s="60" t="s">
        <v>73</v>
      </c>
      <c r="H3" s="60" t="s">
        <v>0</v>
      </c>
      <c r="I3" s="60" t="s">
        <v>74</v>
      </c>
      <c r="J3" s="263" t="s">
        <v>36</v>
      </c>
      <c r="L3" s="311"/>
      <c r="M3" s="248" t="s">
        <v>57</v>
      </c>
      <c r="N3" s="248" t="s">
        <v>58</v>
      </c>
      <c r="O3" s="311"/>
      <c r="P3" s="311"/>
    </row>
    <row r="4" spans="2:17" s="55" customFormat="1" ht="15.75" thickTop="1">
      <c r="B4" s="59">
        <v>42216</v>
      </c>
      <c r="C4" s="273">
        <v>276</v>
      </c>
      <c r="D4" s="64" t="s">
        <v>11</v>
      </c>
      <c r="E4" s="51">
        <v>42234</v>
      </c>
      <c r="F4" s="271">
        <v>3750</v>
      </c>
      <c r="G4" s="52" t="s">
        <v>58</v>
      </c>
      <c r="H4" s="225">
        <v>42231</v>
      </c>
      <c r="I4" s="65" t="s">
        <v>53</v>
      </c>
      <c r="J4" s="264">
        <v>472</v>
      </c>
      <c r="L4" s="245">
        <v>42217</v>
      </c>
      <c r="M4" s="56">
        <f>SUM(C4:C7)</f>
        <v>30276</v>
      </c>
      <c r="N4" s="53">
        <f>SUM(F4:F5)</f>
        <v>10050</v>
      </c>
      <c r="O4" s="53">
        <f>SUM(J4:J13)</f>
        <v>21661</v>
      </c>
      <c r="P4" s="53">
        <f>N4+M4-O4</f>
        <v>18665</v>
      </c>
      <c r="Q4" s="50"/>
    </row>
    <row r="5" spans="2:17">
      <c r="B5" s="51">
        <v>42233</v>
      </c>
      <c r="C5" s="271">
        <v>10000</v>
      </c>
      <c r="D5" s="52" t="s">
        <v>57</v>
      </c>
      <c r="E5" s="51">
        <v>42240</v>
      </c>
      <c r="F5" s="271">
        <v>6300</v>
      </c>
      <c r="G5" s="52" t="s">
        <v>58</v>
      </c>
      <c r="H5" s="226" t="s">
        <v>72</v>
      </c>
      <c r="I5" s="54" t="s">
        <v>61</v>
      </c>
      <c r="J5" s="265">
        <v>8100</v>
      </c>
      <c r="L5" s="245">
        <v>42248</v>
      </c>
      <c r="M5" s="246">
        <f>SUM(C8:C20)</f>
        <v>130000</v>
      </c>
      <c r="N5" s="53">
        <f>SUM(F6:F9)</f>
        <v>34500</v>
      </c>
      <c r="O5" s="53">
        <f>SUM(J14:J36)</f>
        <v>122218.25</v>
      </c>
      <c r="P5" s="53">
        <f>N5+M5-O5</f>
        <v>42281.75</v>
      </c>
      <c r="Q5" s="100"/>
    </row>
    <row r="6" spans="2:17">
      <c r="B6" s="51">
        <v>42239</v>
      </c>
      <c r="C6" s="271">
        <v>10000</v>
      </c>
      <c r="D6" s="52" t="s">
        <v>57</v>
      </c>
      <c r="E6" s="51">
        <v>42249</v>
      </c>
      <c r="F6" s="271">
        <v>7500</v>
      </c>
      <c r="G6" s="52" t="s">
        <v>58</v>
      </c>
      <c r="H6" s="226">
        <v>42235</v>
      </c>
      <c r="I6" s="54" t="s">
        <v>53</v>
      </c>
      <c r="J6" s="265">
        <v>372</v>
      </c>
      <c r="L6" s="245">
        <v>42278</v>
      </c>
      <c r="M6" s="53">
        <f>SUM(C21:C22)</f>
        <v>60000</v>
      </c>
      <c r="N6" s="53">
        <f>SUM(F10)</f>
        <v>4500</v>
      </c>
      <c r="O6" s="247">
        <f>SUM(J37:J45)</f>
        <v>97154.87</v>
      </c>
      <c r="P6" s="53">
        <f>N6+M6-O6</f>
        <v>-32654.869999999995</v>
      </c>
    </row>
    <row r="7" spans="2:17">
      <c r="B7" s="51">
        <v>42247</v>
      </c>
      <c r="C7" s="271">
        <v>10000</v>
      </c>
      <c r="D7" s="52" t="s">
        <v>57</v>
      </c>
      <c r="E7" s="51">
        <v>42256</v>
      </c>
      <c r="F7" s="265">
        <v>9000</v>
      </c>
      <c r="G7" s="52" t="s">
        <v>58</v>
      </c>
      <c r="H7" s="226">
        <v>42239</v>
      </c>
      <c r="I7" s="54" t="s">
        <v>53</v>
      </c>
      <c r="J7" s="265">
        <v>402</v>
      </c>
      <c r="L7" s="56"/>
      <c r="M7" s="246">
        <f>SUM(M4:M6)</f>
        <v>220276</v>
      </c>
      <c r="N7" s="246">
        <f t="shared" ref="N7:O7" si="0">SUM(N4:N6)</f>
        <v>49050</v>
      </c>
      <c r="O7" s="246">
        <f t="shared" si="0"/>
        <v>241034.12</v>
      </c>
      <c r="P7" s="53">
        <f>N7+M7-O7</f>
        <v>28291.880000000005</v>
      </c>
    </row>
    <row r="8" spans="2:17">
      <c r="B8" s="51">
        <v>42256</v>
      </c>
      <c r="C8" s="271">
        <v>10000</v>
      </c>
      <c r="D8" s="52" t="s">
        <v>57</v>
      </c>
      <c r="E8" s="51">
        <v>42261</v>
      </c>
      <c r="F8" s="265">
        <v>9000</v>
      </c>
      <c r="G8" s="52" t="s">
        <v>58</v>
      </c>
      <c r="H8" s="226">
        <v>42240</v>
      </c>
      <c r="I8" s="54" t="s">
        <v>59</v>
      </c>
      <c r="J8" s="265">
        <v>100</v>
      </c>
    </row>
    <row r="9" spans="2:17">
      <c r="B9" s="51">
        <v>42262</v>
      </c>
      <c r="C9" s="271">
        <v>10000</v>
      </c>
      <c r="D9" s="52" t="s">
        <v>57</v>
      </c>
      <c r="E9" s="51">
        <v>42269</v>
      </c>
      <c r="F9" s="271">
        <v>9000</v>
      </c>
      <c r="G9" s="52" t="s">
        <v>58</v>
      </c>
      <c r="H9" s="226">
        <v>42240</v>
      </c>
      <c r="I9" s="54" t="s">
        <v>62</v>
      </c>
      <c r="J9" s="265">
        <v>9900</v>
      </c>
    </row>
    <row r="10" spans="2:17">
      <c r="B10" s="51">
        <v>42263</v>
      </c>
      <c r="C10" s="271">
        <v>10000</v>
      </c>
      <c r="D10" s="52" t="s">
        <v>57</v>
      </c>
      <c r="E10" s="51">
        <v>42286</v>
      </c>
      <c r="F10" s="271">
        <v>4500</v>
      </c>
      <c r="G10" s="53" t="s">
        <v>58</v>
      </c>
      <c r="H10" s="226">
        <v>42241</v>
      </c>
      <c r="I10" s="54" t="s">
        <v>53</v>
      </c>
      <c r="J10" s="265">
        <v>416</v>
      </c>
    </row>
    <row r="11" spans="2:17">
      <c r="B11" s="51">
        <v>42264</v>
      </c>
      <c r="C11" s="274">
        <v>10000</v>
      </c>
      <c r="D11" s="52" t="s">
        <v>57</v>
      </c>
      <c r="E11" s="51">
        <v>42292</v>
      </c>
      <c r="F11" s="271">
        <v>4500</v>
      </c>
      <c r="G11" s="53" t="s">
        <v>58</v>
      </c>
      <c r="H11" s="226">
        <v>42242</v>
      </c>
      <c r="I11" s="54" t="s">
        <v>53</v>
      </c>
      <c r="J11" s="265">
        <v>112</v>
      </c>
    </row>
    <row r="12" spans="2:17">
      <c r="B12" s="51">
        <v>42265</v>
      </c>
      <c r="C12" s="274">
        <v>10000</v>
      </c>
      <c r="D12" s="52" t="s">
        <v>57</v>
      </c>
      <c r="E12" s="51">
        <v>42298</v>
      </c>
      <c r="F12" s="271">
        <v>1800</v>
      </c>
      <c r="G12" s="53" t="s">
        <v>58</v>
      </c>
      <c r="H12" s="226">
        <v>42243</v>
      </c>
      <c r="I12" s="54" t="s">
        <v>63</v>
      </c>
      <c r="J12" s="265">
        <v>1515</v>
      </c>
    </row>
    <row r="13" spans="2:17">
      <c r="B13" s="51">
        <v>42266</v>
      </c>
      <c r="C13" s="274">
        <v>10000</v>
      </c>
      <c r="D13" s="52" t="s">
        <v>57</v>
      </c>
      <c r="E13" s="51"/>
      <c r="F13" s="271"/>
      <c r="G13" s="52"/>
      <c r="H13" s="226">
        <v>42246</v>
      </c>
      <c r="I13" s="54" t="s">
        <v>53</v>
      </c>
      <c r="J13" s="265">
        <v>272</v>
      </c>
    </row>
    <row r="14" spans="2:17">
      <c r="B14" s="51">
        <v>42268</v>
      </c>
      <c r="C14" s="271">
        <v>10000</v>
      </c>
      <c r="D14" s="52" t="s">
        <v>57</v>
      </c>
      <c r="E14" s="51"/>
      <c r="F14" s="271"/>
      <c r="G14" s="52"/>
      <c r="H14" s="226">
        <v>42248</v>
      </c>
      <c r="I14" s="54" t="s">
        <v>64</v>
      </c>
      <c r="J14" s="265">
        <v>14300</v>
      </c>
    </row>
    <row r="15" spans="2:17">
      <c r="B15" s="51">
        <v>42269</v>
      </c>
      <c r="C15" s="265">
        <v>10000</v>
      </c>
      <c r="D15" s="52" t="s">
        <v>57</v>
      </c>
      <c r="E15" s="51"/>
      <c r="F15" s="265"/>
      <c r="G15" s="52"/>
      <c r="H15" s="226">
        <v>42250</v>
      </c>
      <c r="I15" s="54" t="s">
        <v>53</v>
      </c>
      <c r="J15" s="265">
        <v>498</v>
      </c>
    </row>
    <row r="16" spans="2:17">
      <c r="B16" s="51">
        <v>42270</v>
      </c>
      <c r="C16" s="265">
        <v>10000</v>
      </c>
      <c r="D16" s="52" t="s">
        <v>57</v>
      </c>
      <c r="E16" s="51"/>
      <c r="F16" s="265"/>
      <c r="G16" s="52"/>
      <c r="H16" s="226">
        <v>42251</v>
      </c>
      <c r="I16" s="54" t="s">
        <v>65</v>
      </c>
      <c r="J16" s="265">
        <v>300</v>
      </c>
    </row>
    <row r="17" spans="2:10">
      <c r="B17" s="51">
        <v>42271</v>
      </c>
      <c r="C17" s="265">
        <v>10000</v>
      </c>
      <c r="D17" s="52" t="s">
        <v>57</v>
      </c>
      <c r="E17" s="54"/>
      <c r="F17" s="272"/>
      <c r="G17" s="54"/>
      <c r="H17" s="226">
        <v>42254</v>
      </c>
      <c r="I17" s="54" t="s">
        <v>66</v>
      </c>
      <c r="J17" s="265">
        <v>6500</v>
      </c>
    </row>
    <row r="18" spans="2:10">
      <c r="B18" s="51">
        <v>42272</v>
      </c>
      <c r="C18" s="265">
        <v>10000</v>
      </c>
      <c r="D18" s="52" t="s">
        <v>57</v>
      </c>
      <c r="E18" s="54"/>
      <c r="F18" s="272"/>
      <c r="G18" s="54"/>
      <c r="H18" s="226">
        <v>42255</v>
      </c>
      <c r="I18" s="54" t="s">
        <v>60</v>
      </c>
      <c r="J18" s="265">
        <v>464</v>
      </c>
    </row>
    <row r="19" spans="2:10">
      <c r="B19" s="51">
        <v>42275</v>
      </c>
      <c r="C19" s="265">
        <v>10000</v>
      </c>
      <c r="D19" s="52" t="s">
        <v>57</v>
      </c>
      <c r="E19" s="54"/>
      <c r="F19" s="272"/>
      <c r="G19" s="54"/>
      <c r="H19" s="226">
        <v>42256</v>
      </c>
      <c r="I19" s="54" t="s">
        <v>67</v>
      </c>
      <c r="J19" s="265">
        <f>10100+56</f>
        <v>10156</v>
      </c>
    </row>
    <row r="20" spans="2:10">
      <c r="B20" s="51">
        <v>42277</v>
      </c>
      <c r="C20" s="265">
        <v>10000</v>
      </c>
      <c r="D20" s="52" t="s">
        <v>57</v>
      </c>
      <c r="E20" s="54"/>
      <c r="F20" s="272"/>
      <c r="G20" s="54"/>
      <c r="H20" s="226">
        <v>42257</v>
      </c>
      <c r="I20" s="54" t="s">
        <v>60</v>
      </c>
      <c r="J20" s="265">
        <v>451</v>
      </c>
    </row>
    <row r="21" spans="2:10">
      <c r="B21" s="51">
        <v>42284</v>
      </c>
      <c r="C21" s="265">
        <v>20000</v>
      </c>
      <c r="D21" s="52" t="s">
        <v>57</v>
      </c>
      <c r="E21" s="54"/>
      <c r="F21" s="272"/>
      <c r="G21" s="54"/>
      <c r="H21" s="226">
        <v>42258</v>
      </c>
      <c r="I21" s="54" t="s">
        <v>68</v>
      </c>
      <c r="J21" s="265">
        <v>500</v>
      </c>
    </row>
    <row r="22" spans="2:10">
      <c r="B22" s="244">
        <v>42286</v>
      </c>
      <c r="C22" s="265">
        <v>40000</v>
      </c>
      <c r="D22" s="52" t="s">
        <v>57</v>
      </c>
      <c r="E22" s="54"/>
      <c r="F22" s="272"/>
      <c r="G22" s="54"/>
      <c r="H22" s="226">
        <v>42261</v>
      </c>
      <c r="I22" s="54" t="s">
        <v>69</v>
      </c>
      <c r="J22" s="265">
        <v>11250</v>
      </c>
    </row>
    <row r="23" spans="2:10">
      <c r="B23" s="51">
        <v>42296</v>
      </c>
      <c r="C23" s="265">
        <v>20000</v>
      </c>
      <c r="D23" s="52" t="s">
        <v>57</v>
      </c>
      <c r="E23" s="54"/>
      <c r="F23" s="272"/>
      <c r="G23" s="54"/>
      <c r="H23" s="226">
        <v>42262</v>
      </c>
      <c r="I23" s="54" t="s">
        <v>70</v>
      </c>
      <c r="J23" s="265">
        <v>8950</v>
      </c>
    </row>
    <row r="24" spans="2:10">
      <c r="B24" s="51">
        <v>42299</v>
      </c>
      <c r="C24" s="265">
        <v>20000</v>
      </c>
      <c r="D24" s="52" t="s">
        <v>57</v>
      </c>
      <c r="E24" s="54"/>
      <c r="F24" s="272"/>
      <c r="G24" s="54"/>
      <c r="H24" s="226">
        <v>42262</v>
      </c>
      <c r="I24" s="54" t="s">
        <v>71</v>
      </c>
      <c r="J24" s="265">
        <v>663</v>
      </c>
    </row>
    <row r="25" spans="2:10">
      <c r="B25" s="51">
        <v>42311</v>
      </c>
      <c r="C25" s="265">
        <v>30000</v>
      </c>
      <c r="D25" s="52" t="s">
        <v>57</v>
      </c>
      <c r="E25" s="54"/>
      <c r="F25" s="272"/>
      <c r="G25" s="54"/>
      <c r="H25" s="226">
        <v>42263</v>
      </c>
      <c r="I25" s="54" t="s">
        <v>75</v>
      </c>
      <c r="J25" s="265">
        <v>2386</v>
      </c>
    </row>
    <row r="26" spans="2:10">
      <c r="B26" s="51">
        <v>42318</v>
      </c>
      <c r="C26" s="265">
        <v>20000</v>
      </c>
      <c r="D26" s="52" t="s">
        <v>57</v>
      </c>
      <c r="E26" s="54"/>
      <c r="F26" s="272"/>
      <c r="G26" s="54"/>
      <c r="H26" s="226">
        <v>42264</v>
      </c>
      <c r="I26" s="54" t="s">
        <v>93</v>
      </c>
      <c r="J26" s="265">
        <v>800</v>
      </c>
    </row>
    <row r="27" spans="2:10">
      <c r="B27" s="51"/>
      <c r="C27" s="265"/>
      <c r="D27" s="54"/>
      <c r="E27" s="54"/>
      <c r="F27" s="272"/>
      <c r="G27" s="54"/>
      <c r="H27" s="226">
        <v>42266</v>
      </c>
      <c r="I27" s="54" t="s">
        <v>123</v>
      </c>
      <c r="J27" s="265">
        <v>620</v>
      </c>
    </row>
    <row r="28" spans="2:10">
      <c r="B28" s="51"/>
      <c r="C28" s="265"/>
      <c r="D28" s="54"/>
      <c r="E28" s="54"/>
      <c r="F28" s="272"/>
      <c r="G28" s="54"/>
      <c r="H28" s="226">
        <v>42267</v>
      </c>
      <c r="I28" s="54" t="s">
        <v>124</v>
      </c>
      <c r="J28" s="265">
        <v>3236</v>
      </c>
    </row>
    <row r="29" spans="2:10">
      <c r="B29" s="51"/>
      <c r="C29" s="265"/>
      <c r="D29" s="54"/>
      <c r="E29" s="54"/>
      <c r="F29" s="272"/>
      <c r="G29" s="54"/>
      <c r="H29" s="226">
        <v>42268</v>
      </c>
      <c r="I29" s="54" t="s">
        <v>125</v>
      </c>
      <c r="J29" s="265">
        <v>15350</v>
      </c>
    </row>
    <row r="30" spans="2:10">
      <c r="B30" s="51"/>
      <c r="C30" s="265"/>
      <c r="D30" s="54"/>
      <c r="E30" s="54"/>
      <c r="F30" s="272"/>
      <c r="G30" s="54"/>
      <c r="H30" s="226">
        <v>42269</v>
      </c>
      <c r="I30" s="54" t="s">
        <v>126</v>
      </c>
      <c r="J30" s="265">
        <v>19852</v>
      </c>
    </row>
    <row r="31" spans="2:10">
      <c r="B31" s="51"/>
      <c r="C31" s="265"/>
      <c r="D31" s="54"/>
      <c r="E31" s="54"/>
      <c r="F31" s="272"/>
      <c r="G31" s="54"/>
      <c r="H31" s="226">
        <v>42270</v>
      </c>
      <c r="I31" s="54" t="s">
        <v>116</v>
      </c>
      <c r="J31" s="265">
        <v>300</v>
      </c>
    </row>
    <row r="32" spans="2:10">
      <c r="B32" s="51"/>
      <c r="C32" s="265"/>
      <c r="D32" s="54"/>
      <c r="E32" s="54"/>
      <c r="F32" s="272"/>
      <c r="G32" s="54"/>
      <c r="H32" s="226">
        <v>42271</v>
      </c>
      <c r="I32" s="54" t="s">
        <v>164</v>
      </c>
      <c r="J32" s="265">
        <v>2508.25</v>
      </c>
    </row>
    <row r="33" spans="2:10">
      <c r="B33" s="51"/>
      <c r="C33" s="265"/>
      <c r="D33" s="54"/>
      <c r="E33" s="54"/>
      <c r="F33" s="272"/>
      <c r="G33" s="54"/>
      <c r="H33" s="226">
        <v>42272</v>
      </c>
      <c r="I33" s="54" t="s">
        <v>164</v>
      </c>
      <c r="J33" s="265">
        <v>322</v>
      </c>
    </row>
    <row r="34" spans="2:10">
      <c r="B34" s="51"/>
      <c r="C34" s="265"/>
      <c r="D34" s="54"/>
      <c r="E34" s="54"/>
      <c r="F34" s="272"/>
      <c r="G34" s="54"/>
      <c r="H34" s="226">
        <v>42275</v>
      </c>
      <c r="I34" s="54" t="s">
        <v>174</v>
      </c>
      <c r="J34" s="265">
        <v>14950</v>
      </c>
    </row>
    <row r="35" spans="2:10">
      <c r="B35" s="51"/>
      <c r="C35" s="265"/>
      <c r="D35" s="54"/>
      <c r="E35" s="54"/>
      <c r="F35" s="272"/>
      <c r="G35" s="54"/>
      <c r="H35" s="226">
        <v>42276</v>
      </c>
      <c r="I35" s="54" t="s">
        <v>175</v>
      </c>
      <c r="J35" s="265">
        <v>7562</v>
      </c>
    </row>
    <row r="36" spans="2:10">
      <c r="B36" s="51"/>
      <c r="C36" s="265"/>
      <c r="D36" s="54"/>
      <c r="E36" s="54"/>
      <c r="F36" s="272"/>
      <c r="G36" s="54"/>
      <c r="H36" s="226">
        <v>42277</v>
      </c>
      <c r="I36" s="54" t="s">
        <v>116</v>
      </c>
      <c r="J36" s="265">
        <v>300</v>
      </c>
    </row>
    <row r="37" spans="2:10">
      <c r="B37" s="51"/>
      <c r="C37" s="265"/>
      <c r="D37" s="54"/>
      <c r="E37" s="54"/>
      <c r="F37" s="272"/>
      <c r="G37" s="54"/>
      <c r="H37" s="226">
        <v>42278</v>
      </c>
      <c r="I37" s="54" t="s">
        <v>176</v>
      </c>
      <c r="J37" s="265">
        <v>1457</v>
      </c>
    </row>
    <row r="38" spans="2:10">
      <c r="B38" s="51"/>
      <c r="C38" s="265"/>
      <c r="D38" s="54"/>
      <c r="E38" s="54"/>
      <c r="F38" s="272"/>
      <c r="G38" s="54"/>
      <c r="H38" s="226">
        <v>42280</v>
      </c>
      <c r="I38" s="54" t="s">
        <v>177</v>
      </c>
      <c r="J38" s="265">
        <v>27415</v>
      </c>
    </row>
    <row r="39" spans="2:10">
      <c r="B39" s="51"/>
      <c r="C39" s="265"/>
      <c r="D39" s="54"/>
      <c r="E39" s="54"/>
      <c r="F39" s="272"/>
      <c r="G39" s="54"/>
      <c r="H39" s="226">
        <v>42282</v>
      </c>
      <c r="I39" s="54" t="s">
        <v>179</v>
      </c>
      <c r="J39" s="265">
        <f>29405+150</f>
        <v>29555</v>
      </c>
    </row>
    <row r="40" spans="2:10">
      <c r="B40" s="51"/>
      <c r="C40" s="265"/>
      <c r="D40" s="54"/>
      <c r="E40" s="54"/>
      <c r="F40" s="272"/>
      <c r="G40" s="54"/>
      <c r="H40" s="226">
        <v>42283</v>
      </c>
      <c r="I40" s="54" t="s">
        <v>244</v>
      </c>
      <c r="J40" s="265">
        <v>490</v>
      </c>
    </row>
    <row r="41" spans="2:10">
      <c r="B41" s="51"/>
      <c r="C41" s="265"/>
      <c r="D41" s="54"/>
      <c r="E41" s="54"/>
      <c r="F41" s="272"/>
      <c r="G41" s="54"/>
      <c r="H41" s="226">
        <v>42284</v>
      </c>
      <c r="I41" s="54" t="s">
        <v>245</v>
      </c>
      <c r="J41" s="265">
        <v>195</v>
      </c>
    </row>
    <row r="42" spans="2:10">
      <c r="B42" s="51"/>
      <c r="C42" s="265"/>
      <c r="D42" s="54"/>
      <c r="E42" s="54"/>
      <c r="F42" s="272"/>
      <c r="G42" s="54"/>
      <c r="H42" s="226">
        <v>42285</v>
      </c>
      <c r="I42" s="54" t="s">
        <v>246</v>
      </c>
      <c r="J42" s="265">
        <v>8081.25</v>
      </c>
    </row>
    <row r="43" spans="2:10">
      <c r="B43" s="51"/>
      <c r="C43" s="265"/>
      <c r="D43" s="54"/>
      <c r="E43" s="54"/>
      <c r="F43" s="272"/>
      <c r="G43" s="54"/>
      <c r="H43" s="226">
        <v>42287</v>
      </c>
      <c r="I43" s="54" t="s">
        <v>256</v>
      </c>
      <c r="J43" s="265">
        <v>840</v>
      </c>
    </row>
    <row r="44" spans="2:10">
      <c r="B44" s="51"/>
      <c r="C44" s="265"/>
      <c r="D44" s="54"/>
      <c r="E44" s="54"/>
      <c r="F44" s="272"/>
      <c r="G44" s="54"/>
      <c r="H44" s="226">
        <v>42289</v>
      </c>
      <c r="I44" s="54" t="s">
        <v>257</v>
      </c>
      <c r="J44" s="265">
        <v>26087.62</v>
      </c>
    </row>
    <row r="45" spans="2:10">
      <c r="B45" s="51"/>
      <c r="C45" s="265"/>
      <c r="D45" s="54"/>
      <c r="E45" s="54"/>
      <c r="F45" s="272"/>
      <c r="G45" s="54"/>
      <c r="H45" s="226">
        <v>42290</v>
      </c>
      <c r="I45" s="54" t="s">
        <v>258</v>
      </c>
      <c r="J45" s="265">
        <v>3034</v>
      </c>
    </row>
    <row r="46" spans="2:10">
      <c r="B46" s="51"/>
      <c r="C46" s="265"/>
      <c r="D46" s="54"/>
      <c r="E46" s="54"/>
      <c r="F46" s="272"/>
      <c r="G46" s="54"/>
      <c r="H46" s="226">
        <v>42292</v>
      </c>
      <c r="I46" s="54" t="s">
        <v>125</v>
      </c>
      <c r="J46" s="265">
        <v>400</v>
      </c>
    </row>
    <row r="47" spans="2:10">
      <c r="B47" s="51"/>
      <c r="C47" s="265"/>
      <c r="D47" s="54"/>
      <c r="E47" s="54"/>
      <c r="F47" s="272"/>
      <c r="G47" s="54"/>
      <c r="H47" s="226">
        <v>42293</v>
      </c>
      <c r="I47" s="54" t="s">
        <v>290</v>
      </c>
      <c r="J47" s="265">
        <v>7917</v>
      </c>
    </row>
    <row r="48" spans="2:10">
      <c r="B48" s="51"/>
      <c r="C48" s="265"/>
      <c r="D48" s="54"/>
      <c r="E48" s="54"/>
      <c r="F48" s="272"/>
      <c r="G48" s="54"/>
      <c r="H48" s="226">
        <v>42294</v>
      </c>
      <c r="I48" s="54" t="s">
        <v>291</v>
      </c>
      <c r="J48" s="265">
        <v>633</v>
      </c>
    </row>
    <row r="49" spans="2:10">
      <c r="B49" s="51"/>
      <c r="C49" s="265"/>
      <c r="D49" s="54"/>
      <c r="E49" s="54"/>
      <c r="F49" s="272"/>
      <c r="G49" s="54"/>
      <c r="H49" s="226">
        <v>42296</v>
      </c>
      <c r="I49" s="54" t="s">
        <v>292</v>
      </c>
      <c r="J49" s="265">
        <v>5749.75</v>
      </c>
    </row>
    <row r="50" spans="2:10">
      <c r="B50" s="51"/>
      <c r="C50" s="265"/>
      <c r="D50" s="54"/>
      <c r="E50" s="54"/>
      <c r="F50" s="272"/>
      <c r="G50" s="54"/>
      <c r="H50" s="226">
        <v>42297</v>
      </c>
      <c r="I50" s="54" t="s">
        <v>293</v>
      </c>
      <c r="J50" s="265">
        <v>7804.25</v>
      </c>
    </row>
    <row r="51" spans="2:10">
      <c r="B51" s="51"/>
      <c r="C51" s="265"/>
      <c r="D51" s="54"/>
      <c r="E51" s="54"/>
      <c r="F51" s="272"/>
      <c r="G51" s="54"/>
      <c r="H51" s="226">
        <v>42298</v>
      </c>
      <c r="I51" s="54" t="s">
        <v>296</v>
      </c>
      <c r="J51" s="265">
        <v>3272</v>
      </c>
    </row>
    <row r="52" spans="2:10">
      <c r="B52" s="51"/>
      <c r="C52" s="265"/>
      <c r="D52" s="54"/>
      <c r="E52" s="54"/>
      <c r="F52" s="272"/>
      <c r="G52" s="54"/>
      <c r="H52" s="226">
        <v>42299</v>
      </c>
      <c r="I52" s="54" t="s">
        <v>116</v>
      </c>
      <c r="J52" s="265">
        <v>11475.65</v>
      </c>
    </row>
    <row r="53" spans="2:10">
      <c r="B53" s="51"/>
      <c r="C53" s="265"/>
      <c r="D53" s="54"/>
      <c r="E53" s="54"/>
      <c r="F53" s="272"/>
      <c r="G53" s="54"/>
      <c r="H53" s="226">
        <v>42300</v>
      </c>
      <c r="I53" s="54" t="s">
        <v>299</v>
      </c>
      <c r="J53" s="265">
        <v>5865</v>
      </c>
    </row>
    <row r="54" spans="2:10">
      <c r="B54" s="51"/>
      <c r="C54" s="265"/>
      <c r="D54" s="54"/>
      <c r="E54" s="54"/>
      <c r="F54" s="272"/>
      <c r="G54" s="54"/>
      <c r="H54" s="226">
        <v>42302</v>
      </c>
      <c r="I54" s="54" t="s">
        <v>300</v>
      </c>
      <c r="J54" s="265">
        <v>108</v>
      </c>
    </row>
    <row r="55" spans="2:10">
      <c r="B55" s="51"/>
      <c r="C55" s="265"/>
      <c r="D55" s="54"/>
      <c r="E55" s="54"/>
      <c r="F55" s="272"/>
      <c r="G55" s="54"/>
      <c r="H55" s="226">
        <v>42303</v>
      </c>
      <c r="I55" s="54" t="s">
        <v>301</v>
      </c>
      <c r="J55" s="265">
        <v>2083.5</v>
      </c>
    </row>
    <row r="56" spans="2:10">
      <c r="B56" s="51"/>
      <c r="C56" s="265"/>
      <c r="D56" s="54"/>
      <c r="E56" s="54"/>
      <c r="F56" s="272"/>
      <c r="G56" s="54"/>
      <c r="H56" s="226">
        <v>42304</v>
      </c>
      <c r="I56" s="54" t="s">
        <v>302</v>
      </c>
      <c r="J56" s="265">
        <v>1670</v>
      </c>
    </row>
    <row r="57" spans="2:10">
      <c r="B57" s="51"/>
      <c r="C57" s="265"/>
      <c r="D57" s="54"/>
      <c r="E57" s="54"/>
      <c r="F57" s="272"/>
      <c r="G57" s="54"/>
      <c r="H57" s="226">
        <v>42305</v>
      </c>
      <c r="I57" s="54" t="s">
        <v>93</v>
      </c>
      <c r="J57" s="265">
        <v>5732</v>
      </c>
    </row>
    <row r="58" spans="2:10">
      <c r="B58" s="51"/>
      <c r="C58" s="265"/>
      <c r="D58" s="54"/>
      <c r="E58" s="54"/>
      <c r="F58" s="272"/>
      <c r="G58" s="54"/>
      <c r="H58" s="226">
        <v>42307</v>
      </c>
      <c r="I58" s="54" t="s">
        <v>311</v>
      </c>
      <c r="J58" s="265">
        <v>707</v>
      </c>
    </row>
    <row r="59" spans="2:10">
      <c r="B59" s="51"/>
      <c r="C59" s="265"/>
      <c r="D59" s="54"/>
      <c r="E59" s="54"/>
      <c r="F59" s="272"/>
      <c r="G59" s="54"/>
      <c r="H59" s="226">
        <v>42310</v>
      </c>
      <c r="I59" s="54" t="s">
        <v>312</v>
      </c>
      <c r="J59" s="265">
        <v>13312</v>
      </c>
    </row>
    <row r="60" spans="2:10">
      <c r="B60" s="51"/>
      <c r="C60" s="265"/>
      <c r="D60" s="54"/>
      <c r="E60" s="54"/>
      <c r="F60" s="272"/>
      <c r="G60" s="54"/>
      <c r="H60" s="226">
        <v>42311</v>
      </c>
      <c r="I60" s="294" t="s">
        <v>313</v>
      </c>
      <c r="J60" s="265">
        <v>1538</v>
      </c>
    </row>
    <row r="61" spans="2:10">
      <c r="B61" s="51"/>
      <c r="C61" s="265"/>
      <c r="D61" s="54"/>
      <c r="E61" s="54"/>
      <c r="F61" s="272"/>
      <c r="G61" s="54"/>
      <c r="H61" s="226">
        <v>42312</v>
      </c>
      <c r="I61" s="294" t="s">
        <v>314</v>
      </c>
      <c r="J61" s="265">
        <v>11258</v>
      </c>
    </row>
    <row r="62" spans="2:10">
      <c r="B62" s="51"/>
      <c r="C62" s="265"/>
      <c r="D62" s="54"/>
      <c r="E62" s="54"/>
      <c r="F62" s="272"/>
      <c r="G62" s="54"/>
      <c r="H62" s="226">
        <v>42313</v>
      </c>
      <c r="I62" s="294" t="s">
        <v>300</v>
      </c>
      <c r="J62" s="265">
        <v>52</v>
      </c>
    </row>
    <row r="63" spans="2:10">
      <c r="B63" s="51"/>
      <c r="C63" s="265"/>
      <c r="D63" s="54"/>
      <c r="E63" s="54"/>
      <c r="F63" s="272"/>
      <c r="G63" s="54"/>
      <c r="H63" s="226">
        <v>42314</v>
      </c>
      <c r="I63" s="294" t="s">
        <v>315</v>
      </c>
      <c r="J63" s="265">
        <v>2461</v>
      </c>
    </row>
    <row r="64" spans="2:10">
      <c r="B64" s="51"/>
      <c r="C64" s="265"/>
      <c r="D64" s="54"/>
      <c r="E64" s="54"/>
      <c r="F64" s="272"/>
      <c r="G64" s="54"/>
      <c r="H64" s="226">
        <v>42315</v>
      </c>
      <c r="I64" s="294" t="s">
        <v>311</v>
      </c>
      <c r="J64" s="265">
        <v>568</v>
      </c>
    </row>
    <row r="65" spans="2:15">
      <c r="B65" s="51"/>
      <c r="C65" s="265"/>
      <c r="D65" s="54"/>
      <c r="E65" s="54"/>
      <c r="F65" s="272"/>
      <c r="G65" s="54"/>
      <c r="H65" s="226">
        <v>42317</v>
      </c>
      <c r="I65" s="294" t="s">
        <v>116</v>
      </c>
      <c r="J65" s="265">
        <v>9028.25</v>
      </c>
    </row>
    <row r="66" spans="2:15">
      <c r="B66" s="51"/>
      <c r="C66" s="265"/>
      <c r="D66" s="54"/>
      <c r="E66" s="54"/>
      <c r="F66" s="272"/>
      <c r="G66" s="54"/>
      <c r="H66" s="226">
        <v>42318</v>
      </c>
      <c r="I66" s="294" t="s">
        <v>116</v>
      </c>
      <c r="J66" s="265">
        <v>3861.7</v>
      </c>
    </row>
    <row r="67" spans="2:15">
      <c r="B67" s="51"/>
      <c r="C67" s="265"/>
      <c r="D67" s="54"/>
      <c r="E67" s="54"/>
      <c r="F67" s="272"/>
      <c r="G67" s="54"/>
      <c r="H67" s="226">
        <v>42319</v>
      </c>
      <c r="I67" s="294" t="s">
        <v>320</v>
      </c>
      <c r="J67" s="265">
        <v>3397</v>
      </c>
    </row>
    <row r="68" spans="2:15">
      <c r="B68" s="51"/>
      <c r="C68" s="265"/>
      <c r="D68" s="54"/>
      <c r="E68" s="54"/>
      <c r="F68" s="272"/>
      <c r="G68" s="54"/>
      <c r="H68" s="226">
        <v>42320</v>
      </c>
      <c r="I68" s="294" t="s">
        <v>321</v>
      </c>
      <c r="J68" s="265">
        <v>15590</v>
      </c>
    </row>
    <row r="69" spans="2:15">
      <c r="B69" s="51"/>
      <c r="C69" s="265"/>
      <c r="D69" s="54"/>
      <c r="E69" s="54"/>
      <c r="F69" s="272"/>
      <c r="G69" s="54"/>
      <c r="H69" s="226"/>
      <c r="I69" s="294"/>
      <c r="J69" s="265"/>
    </row>
    <row r="70" spans="2:15">
      <c r="B70" s="51"/>
      <c r="C70" s="265"/>
      <c r="D70" s="54"/>
      <c r="E70" s="54"/>
      <c r="F70" s="272"/>
      <c r="G70" s="54"/>
      <c r="H70" s="226"/>
      <c r="I70" s="294"/>
      <c r="J70" s="265"/>
    </row>
    <row r="71" spans="2:15">
      <c r="B71" s="51"/>
      <c r="C71" s="265"/>
      <c r="D71" s="54"/>
      <c r="E71" s="54"/>
      <c r="F71" s="272"/>
      <c r="G71" s="54"/>
      <c r="H71" s="226"/>
      <c r="I71" s="54"/>
      <c r="J71" s="265"/>
    </row>
    <row r="72" spans="2:15" s="62" customFormat="1" ht="15.75">
      <c r="C72" s="266">
        <f>SUM(C4:C71)</f>
        <v>310276</v>
      </c>
      <c r="F72" s="266">
        <f>SUM(F4:F71)</f>
        <v>55350</v>
      </c>
      <c r="H72" s="63"/>
      <c r="J72" s="266"/>
      <c r="K72" s="50"/>
      <c r="L72" s="50"/>
      <c r="M72" s="50"/>
      <c r="N72" s="50"/>
      <c r="O72" s="50"/>
    </row>
    <row r="73" spans="2:15" s="49" customFormat="1" ht="18.75">
      <c r="B73" s="58" t="s">
        <v>33</v>
      </c>
      <c r="C73" s="267">
        <f>SUM(B72:G72)</f>
        <v>365626</v>
      </c>
      <c r="F73" s="267"/>
      <c r="H73" s="57"/>
      <c r="J73" s="267">
        <f>SUM(J4:J71)</f>
        <v>355517.22000000003</v>
      </c>
      <c r="K73" s="62"/>
      <c r="L73" s="62"/>
      <c r="M73" s="62"/>
      <c r="N73" s="62"/>
      <c r="O73" s="62"/>
    </row>
    <row r="74" spans="2:15" ht="21">
      <c r="I74" s="182" t="s">
        <v>76</v>
      </c>
      <c r="J74" s="268">
        <f>C73-J73</f>
        <v>10108.77999999997</v>
      </c>
      <c r="K74" s="49"/>
      <c r="L74" s="49"/>
      <c r="M74" s="49"/>
      <c r="N74" s="49"/>
      <c r="O74" s="49"/>
    </row>
    <row r="76" spans="2:15">
      <c r="J76" s="269"/>
    </row>
  </sheetData>
  <mergeCells count="6">
    <mergeCell ref="P2:P3"/>
    <mergeCell ref="B2:G2"/>
    <mergeCell ref="H2:J2"/>
    <mergeCell ref="L2:L3"/>
    <mergeCell ref="M2:N2"/>
    <mergeCell ref="O2:O3"/>
  </mergeCells>
  <pageMargins left="0.7" right="0.7" top="0.75" bottom="0.75" header="0.3" footer="0.3"/>
  <pageSetup paperSize="9" scale="98" orientation="landscape" r:id="rId1"/>
  <ignoredErrors>
    <ignoredError sqref="H5" twoDigitTextYear="1"/>
  </ignoredError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O41"/>
  <sheetViews>
    <sheetView zoomScale="85" zoomScaleNormal="85" workbookViewId="0">
      <pane ySplit="2" topLeftCell="A6" activePane="bottomLeft" state="frozen"/>
      <selection pane="bottomLeft" activeCell="M31" sqref="M31"/>
    </sheetView>
  </sheetViews>
  <sheetFormatPr defaultRowHeight="15"/>
  <cols>
    <col min="1" max="1" width="13.140625" style="208" bestFit="1" customWidth="1"/>
    <col min="2" max="2" width="25.140625" style="208" bestFit="1" customWidth="1"/>
    <col min="3" max="3" width="14.28515625" style="208" bestFit="1" customWidth="1"/>
    <col min="4" max="4" width="2.42578125" style="208" customWidth="1"/>
    <col min="5" max="5" width="14.7109375" style="208" hidden="1" customWidth="1"/>
    <col min="6" max="6" width="35" style="208" hidden="1" customWidth="1"/>
    <col min="7" max="7" width="12.7109375" style="208" hidden="1" customWidth="1"/>
    <col min="8" max="8" width="2.5703125" style="208" customWidth="1"/>
    <col min="9" max="9" width="12" style="208" bestFit="1" customWidth="1"/>
    <col min="10" max="10" width="22.7109375" style="208" bestFit="1" customWidth="1"/>
    <col min="11" max="11" width="12.7109375" style="208" bestFit="1" customWidth="1"/>
    <col min="12" max="12" width="2.140625" style="208" customWidth="1"/>
    <col min="13" max="13" width="11.28515625" style="208" bestFit="1" customWidth="1"/>
    <col min="14" max="14" width="46.42578125" style="208" bestFit="1" customWidth="1"/>
    <col min="15" max="15" width="12.7109375" style="208" bestFit="1" customWidth="1"/>
    <col min="16" max="16384" width="9.140625" style="208"/>
  </cols>
  <sheetData>
    <row r="1" spans="1:15" s="196" customFormat="1" ht="18.75">
      <c r="A1" s="196" t="s">
        <v>289</v>
      </c>
      <c r="E1" s="258" t="s">
        <v>120</v>
      </c>
      <c r="I1" s="196" t="s">
        <v>121</v>
      </c>
      <c r="M1" s="196" t="s">
        <v>186</v>
      </c>
    </row>
    <row r="2" spans="1:15" s="216" customFormat="1" ht="18.75">
      <c r="A2" s="66" t="s">
        <v>0</v>
      </c>
      <c r="B2" s="66" t="s">
        <v>88</v>
      </c>
      <c r="C2" s="66" t="s">
        <v>36</v>
      </c>
      <c r="D2" s="196"/>
      <c r="E2" s="66" t="s">
        <v>0</v>
      </c>
      <c r="F2" s="66" t="s">
        <v>88</v>
      </c>
      <c r="G2" s="66" t="s">
        <v>36</v>
      </c>
      <c r="I2" s="66" t="s">
        <v>0</v>
      </c>
      <c r="J2" s="66" t="s">
        <v>88</v>
      </c>
      <c r="K2" s="66" t="s">
        <v>36</v>
      </c>
      <c r="M2" s="66" t="s">
        <v>0</v>
      </c>
      <c r="N2" s="66" t="s">
        <v>88</v>
      </c>
      <c r="O2" s="66" t="s">
        <v>36</v>
      </c>
    </row>
    <row r="3" spans="1:15" ht="18.75">
      <c r="A3" s="227">
        <v>42233</v>
      </c>
      <c r="B3" s="206" t="s">
        <v>222</v>
      </c>
      <c r="C3" s="215">
        <v>6900</v>
      </c>
      <c r="D3" s="196"/>
      <c r="E3" s="214">
        <v>42269</v>
      </c>
      <c r="F3" s="206" t="s">
        <v>128</v>
      </c>
      <c r="G3" s="215">
        <v>1864</v>
      </c>
      <c r="H3" s="212"/>
      <c r="I3" s="227">
        <v>42269</v>
      </c>
      <c r="J3" s="228" t="s">
        <v>185</v>
      </c>
      <c r="K3" s="215">
        <v>2000</v>
      </c>
      <c r="M3" s="227">
        <v>42282</v>
      </c>
      <c r="N3" s="206" t="s">
        <v>178</v>
      </c>
      <c r="O3" s="252">
        <v>9006</v>
      </c>
    </row>
    <row r="4" spans="1:15" ht="18.75">
      <c r="A4" s="227">
        <v>42240</v>
      </c>
      <c r="B4" s="206" t="s">
        <v>223</v>
      </c>
      <c r="C4" s="215">
        <v>9900</v>
      </c>
      <c r="D4" s="196"/>
      <c r="E4" s="214">
        <v>42271</v>
      </c>
      <c r="F4" s="206" t="s">
        <v>168</v>
      </c>
      <c r="G4" s="215">
        <v>1921.7660000000001</v>
      </c>
      <c r="H4" s="212"/>
      <c r="I4" s="214">
        <v>42269</v>
      </c>
      <c r="J4" s="206" t="s">
        <v>127</v>
      </c>
      <c r="K4" s="215">
        <v>19500</v>
      </c>
      <c r="M4" s="227">
        <v>42282</v>
      </c>
      <c r="N4" s="206" t="s">
        <v>187</v>
      </c>
      <c r="O4" s="252">
        <v>4065</v>
      </c>
    </row>
    <row r="5" spans="1:15" ht="18.75">
      <c r="A5" s="227">
        <v>42243</v>
      </c>
      <c r="B5" s="206" t="s">
        <v>224</v>
      </c>
      <c r="C5" s="215">
        <v>900</v>
      </c>
      <c r="D5" s="196"/>
      <c r="E5" s="214">
        <v>42262</v>
      </c>
      <c r="F5" s="206" t="s">
        <v>275</v>
      </c>
      <c r="G5" s="215">
        <v>101</v>
      </c>
      <c r="H5" s="212"/>
      <c r="I5" s="214">
        <v>42276</v>
      </c>
      <c r="J5" s="206" t="s">
        <v>180</v>
      </c>
      <c r="K5" s="215">
        <v>3000</v>
      </c>
      <c r="M5" s="227">
        <v>42282</v>
      </c>
      <c r="N5" s="206" t="s">
        <v>273</v>
      </c>
      <c r="O5" s="252">
        <v>2500</v>
      </c>
    </row>
    <row r="6" spans="1:15" ht="18.75">
      <c r="A6" s="227">
        <v>42248</v>
      </c>
      <c r="B6" s="206" t="s">
        <v>225</v>
      </c>
      <c r="C6" s="215">
        <v>14100</v>
      </c>
      <c r="D6" s="196"/>
      <c r="E6" s="214">
        <v>42267</v>
      </c>
      <c r="F6" s="254" t="s">
        <v>278</v>
      </c>
      <c r="G6" s="215">
        <f>[1]SEPTEMBER!$B$380+[1]SEPTEMBER!$B$381+[1]SEPTEMBER!$B$382+[1]SEPTEMBER!$B$383+[1]SEPTEMBER!$B$384+[1]SEPTEMBER!$B$385</f>
        <v>2213</v>
      </c>
      <c r="H6" s="212"/>
      <c r="I6" s="214">
        <v>42280</v>
      </c>
      <c r="J6" s="206" t="s">
        <v>181</v>
      </c>
      <c r="K6" s="215">
        <v>2000</v>
      </c>
      <c r="M6" s="227">
        <v>42282</v>
      </c>
      <c r="N6" s="206" t="s">
        <v>188</v>
      </c>
      <c r="O6" s="252">
        <v>500</v>
      </c>
    </row>
    <row r="7" spans="1:15" ht="18.75">
      <c r="A7" s="214">
        <v>42251</v>
      </c>
      <c r="B7" s="206" t="s">
        <v>226</v>
      </c>
      <c r="C7" s="215">
        <v>300</v>
      </c>
      <c r="D7" s="196"/>
      <c r="E7" s="214">
        <v>42271</v>
      </c>
      <c r="F7" s="206" t="s">
        <v>277</v>
      </c>
      <c r="G7" s="215">
        <f>[1]SEPTEMBER!$B$463+[1]SEPTEMBER!$B$464+[1]SEPTEMBER!$B$465+[1]SEPTEMBER!$B$466</f>
        <v>1826.25</v>
      </c>
      <c r="H7" s="212"/>
      <c r="I7" s="214">
        <v>42280</v>
      </c>
      <c r="J7" s="206" t="s">
        <v>182</v>
      </c>
      <c r="K7" s="215">
        <v>19000</v>
      </c>
      <c r="M7" s="214">
        <v>42289</v>
      </c>
      <c r="N7" s="206" t="s">
        <v>267</v>
      </c>
      <c r="O7" s="253">
        <v>1000</v>
      </c>
    </row>
    <row r="8" spans="1:15" ht="18.75">
      <c r="A8" s="214">
        <v>42254</v>
      </c>
      <c r="B8" s="206" t="s">
        <v>227</v>
      </c>
      <c r="C8" s="215">
        <v>6000</v>
      </c>
      <c r="D8" s="196"/>
      <c r="E8" s="214">
        <v>42272</v>
      </c>
      <c r="F8" s="206" t="s">
        <v>276</v>
      </c>
      <c r="G8" s="215">
        <f>[1]SEPTEMBER!$B$495+[1]SEPTEMBER!$B$496</f>
        <v>179</v>
      </c>
      <c r="H8" s="212"/>
      <c r="I8" s="214">
        <v>42280</v>
      </c>
      <c r="J8" s="206" t="s">
        <v>183</v>
      </c>
      <c r="K8" s="215">
        <v>3000</v>
      </c>
      <c r="M8" s="214">
        <v>42289</v>
      </c>
      <c r="N8" s="206" t="s">
        <v>268</v>
      </c>
      <c r="O8" s="253">
        <v>1657.33</v>
      </c>
    </row>
    <row r="9" spans="1:15" ht="18.75">
      <c r="A9" s="214">
        <v>42256</v>
      </c>
      <c r="B9" s="206" t="s">
        <v>228</v>
      </c>
      <c r="C9" s="215">
        <v>9900</v>
      </c>
      <c r="D9" s="196"/>
      <c r="E9" s="214">
        <v>42278</v>
      </c>
      <c r="F9" s="206" t="s">
        <v>280</v>
      </c>
      <c r="G9" s="215">
        <f>[1]OCTOBER!$B$8+[1]OCTOBER!$B$9+[1]OCTOBER!$B$10</f>
        <v>957</v>
      </c>
      <c r="H9" s="212"/>
      <c r="I9" s="214">
        <v>42280</v>
      </c>
      <c r="J9" s="206" t="s">
        <v>184</v>
      </c>
      <c r="K9" s="215">
        <v>3000</v>
      </c>
      <c r="M9" s="214">
        <v>42289</v>
      </c>
      <c r="N9" s="206" t="s">
        <v>269</v>
      </c>
      <c r="O9" s="253">
        <v>1693</v>
      </c>
    </row>
    <row r="10" spans="1:15" ht="18.75">
      <c r="A10" s="214">
        <v>42258</v>
      </c>
      <c r="B10" s="206" t="s">
        <v>229</v>
      </c>
      <c r="C10" s="215">
        <v>300</v>
      </c>
      <c r="D10" s="196"/>
      <c r="E10" s="214">
        <v>42286</v>
      </c>
      <c r="F10" s="206" t="s">
        <v>281</v>
      </c>
      <c r="G10" s="215">
        <f>[1]OCTOBER!$B$117+[1]OCTOBER!$B$118+[1]OCTOBER!$B$119</f>
        <v>1596.25</v>
      </c>
      <c r="H10" s="212"/>
      <c r="I10" s="214">
        <v>42275</v>
      </c>
      <c r="J10" s="206" t="s">
        <v>279</v>
      </c>
      <c r="K10" s="215">
        <v>1750</v>
      </c>
      <c r="M10" s="214">
        <v>42289</v>
      </c>
      <c r="N10" s="206" t="s">
        <v>270</v>
      </c>
      <c r="O10" s="253">
        <v>7573.29</v>
      </c>
    </row>
    <row r="11" spans="1:15" ht="18.75">
      <c r="A11" s="214">
        <v>42261</v>
      </c>
      <c r="B11" s="206" t="s">
        <v>230</v>
      </c>
      <c r="C11" s="215">
        <v>11050</v>
      </c>
      <c r="D11" s="196"/>
      <c r="E11" s="214">
        <v>42287</v>
      </c>
      <c r="F11" s="206" t="s">
        <v>282</v>
      </c>
      <c r="G11" s="215">
        <f>[1]OCTOBER!$B$139+[1]OCTOBER!$B$140</f>
        <v>440</v>
      </c>
      <c r="H11" s="212"/>
      <c r="I11" s="214"/>
      <c r="J11" s="206"/>
      <c r="K11" s="215"/>
      <c r="M11" s="214">
        <v>42289</v>
      </c>
      <c r="N11" s="206" t="s">
        <v>271</v>
      </c>
      <c r="O11" s="253">
        <v>145</v>
      </c>
    </row>
    <row r="12" spans="1:15" ht="18.75">
      <c r="A12" s="214">
        <v>42262</v>
      </c>
      <c r="B12" s="206" t="s">
        <v>231</v>
      </c>
      <c r="C12" s="215">
        <v>8000</v>
      </c>
      <c r="D12" s="196"/>
      <c r="E12" s="214">
        <v>42289</v>
      </c>
      <c r="F12" s="206" t="s">
        <v>283</v>
      </c>
      <c r="G12" s="215">
        <v>103</v>
      </c>
      <c r="H12" s="212"/>
      <c r="I12" s="214"/>
      <c r="J12" s="206"/>
      <c r="K12" s="215"/>
      <c r="M12" s="214">
        <v>42289</v>
      </c>
      <c r="N12" s="206" t="s">
        <v>272</v>
      </c>
      <c r="O12" s="251">
        <v>15</v>
      </c>
    </row>
    <row r="13" spans="1:15" ht="18.75">
      <c r="A13" s="214">
        <v>42264</v>
      </c>
      <c r="B13" s="206" t="s">
        <v>232</v>
      </c>
      <c r="C13" s="215">
        <v>600</v>
      </c>
      <c r="D13" s="196"/>
      <c r="E13" s="214">
        <v>42290</v>
      </c>
      <c r="F13" s="206" t="s">
        <v>284</v>
      </c>
      <c r="G13" s="215">
        <v>2700</v>
      </c>
      <c r="H13" s="212"/>
      <c r="I13" s="214"/>
      <c r="J13" s="206"/>
      <c r="K13" s="215"/>
      <c r="M13" s="214"/>
      <c r="N13" s="206"/>
      <c r="O13" s="215"/>
    </row>
    <row r="14" spans="1:15" ht="18.75">
      <c r="A14" s="214">
        <v>42267</v>
      </c>
      <c r="B14" s="206" t="s">
        <v>233</v>
      </c>
      <c r="C14" s="215">
        <v>750</v>
      </c>
      <c r="D14" s="196"/>
      <c r="E14" s="214"/>
      <c r="F14" s="206"/>
      <c r="G14" s="215"/>
      <c r="H14" s="212"/>
      <c r="I14" s="214"/>
      <c r="J14" s="206"/>
      <c r="K14" s="215"/>
      <c r="M14" s="214"/>
      <c r="N14" s="206"/>
      <c r="O14" s="215"/>
    </row>
    <row r="15" spans="1:15" ht="18.75">
      <c r="A15" s="214">
        <v>42268</v>
      </c>
      <c r="B15" s="206" t="s">
        <v>233</v>
      </c>
      <c r="C15" s="215">
        <v>15150</v>
      </c>
      <c r="D15" s="196"/>
      <c r="E15" s="214"/>
      <c r="F15" s="206"/>
      <c r="G15" s="215"/>
      <c r="H15" s="212"/>
      <c r="I15" s="214"/>
      <c r="J15" s="206"/>
      <c r="K15" s="215"/>
      <c r="M15" s="214"/>
      <c r="N15" s="206"/>
      <c r="O15" s="215"/>
    </row>
    <row r="16" spans="1:15" ht="18.75">
      <c r="A16" s="214">
        <v>42269</v>
      </c>
      <c r="B16" s="206" t="s">
        <v>234</v>
      </c>
      <c r="C16" s="215">
        <v>300</v>
      </c>
      <c r="D16" s="196"/>
      <c r="E16" s="214"/>
      <c r="F16" s="206"/>
      <c r="G16" s="215"/>
      <c r="H16" s="212"/>
      <c r="I16" s="214"/>
      <c r="J16" s="206"/>
      <c r="K16" s="215"/>
      <c r="M16" s="214"/>
      <c r="N16" s="206"/>
      <c r="O16" s="215"/>
    </row>
    <row r="17" spans="1:15" ht="18.75">
      <c r="A17" s="214">
        <v>42270</v>
      </c>
      <c r="B17" s="206" t="s">
        <v>235</v>
      </c>
      <c r="C17" s="215">
        <v>300</v>
      </c>
      <c r="D17" s="196"/>
      <c r="E17" s="214"/>
      <c r="F17" s="206"/>
      <c r="G17" s="215"/>
      <c r="H17" s="212"/>
      <c r="I17" s="214"/>
      <c r="J17" s="206"/>
      <c r="K17" s="215"/>
      <c r="M17" s="214"/>
      <c r="N17" s="206"/>
      <c r="O17" s="215"/>
    </row>
    <row r="18" spans="1:15" ht="18.75">
      <c r="A18" s="214">
        <v>42275</v>
      </c>
      <c r="B18" s="206" t="s">
        <v>236</v>
      </c>
      <c r="C18" s="215">
        <v>12900</v>
      </c>
      <c r="D18" s="196"/>
      <c r="E18" s="214"/>
      <c r="F18" s="206"/>
      <c r="G18" s="215"/>
      <c r="H18" s="212"/>
      <c r="I18" s="214"/>
      <c r="J18" s="206"/>
      <c r="K18" s="215"/>
      <c r="M18" s="214"/>
      <c r="N18" s="206"/>
      <c r="O18" s="215"/>
    </row>
    <row r="19" spans="1:15" ht="18.75">
      <c r="A19" s="214">
        <v>42276</v>
      </c>
      <c r="B19" s="206" t="s">
        <v>236</v>
      </c>
      <c r="C19" s="215">
        <v>3750</v>
      </c>
      <c r="D19" s="196"/>
      <c r="E19" s="214"/>
      <c r="F19" s="206"/>
      <c r="G19" s="215"/>
      <c r="H19" s="212"/>
      <c r="I19" s="214"/>
      <c r="J19" s="206"/>
      <c r="K19" s="215"/>
      <c r="M19" s="214"/>
      <c r="N19" s="206"/>
      <c r="O19" s="215"/>
    </row>
    <row r="20" spans="1:15" ht="18.75">
      <c r="A20" s="214">
        <v>42277</v>
      </c>
      <c r="B20" s="206" t="s">
        <v>237</v>
      </c>
      <c r="C20" s="215">
        <v>300</v>
      </c>
      <c r="D20" s="196"/>
      <c r="E20" s="214"/>
      <c r="F20" s="206"/>
      <c r="G20" s="215"/>
      <c r="H20" s="212"/>
      <c r="I20" s="214"/>
      <c r="J20" s="206"/>
      <c r="K20" s="215"/>
      <c r="M20" s="214"/>
      <c r="N20" s="206"/>
      <c r="O20" s="215"/>
    </row>
    <row r="21" spans="1:15" ht="18.75">
      <c r="A21" s="214">
        <v>42278</v>
      </c>
      <c r="B21" s="206" t="s">
        <v>238</v>
      </c>
      <c r="C21" s="215">
        <v>300</v>
      </c>
      <c r="D21" s="196"/>
      <c r="E21" s="214"/>
      <c r="F21" s="206"/>
      <c r="G21" s="215"/>
      <c r="H21" s="212"/>
      <c r="I21" s="214"/>
      <c r="J21" s="206"/>
      <c r="K21" s="215"/>
      <c r="M21" s="214"/>
      <c r="N21" s="206"/>
      <c r="O21" s="215"/>
    </row>
    <row r="22" spans="1:15" ht="18.75">
      <c r="A22" s="214">
        <v>42282</v>
      </c>
      <c r="B22" s="206" t="s">
        <v>239</v>
      </c>
      <c r="C22" s="215">
        <v>12900</v>
      </c>
      <c r="D22" s="196"/>
      <c r="E22" s="214"/>
      <c r="F22" s="206"/>
      <c r="G22" s="215"/>
      <c r="H22" s="212"/>
      <c r="I22" s="214"/>
      <c r="J22" s="206"/>
      <c r="K22" s="215"/>
      <c r="M22" s="214"/>
      <c r="N22" s="206"/>
      <c r="O22" s="215"/>
    </row>
    <row r="23" spans="1:15" ht="18.75">
      <c r="A23" s="214">
        <v>42283</v>
      </c>
      <c r="B23" s="206" t="s">
        <v>259</v>
      </c>
      <c r="C23" s="215">
        <v>300</v>
      </c>
      <c r="D23" s="196"/>
      <c r="E23" s="214"/>
      <c r="F23" s="206"/>
      <c r="G23" s="215"/>
      <c r="H23" s="212"/>
      <c r="I23" s="214"/>
      <c r="J23" s="206"/>
      <c r="K23" s="215"/>
      <c r="M23" s="214"/>
      <c r="N23" s="206"/>
      <c r="O23" s="215"/>
    </row>
    <row r="24" spans="1:15" ht="18.75">
      <c r="A24" s="214">
        <v>42285</v>
      </c>
      <c r="B24" s="206" t="s">
        <v>260</v>
      </c>
      <c r="C24" s="215">
        <f>6*70</f>
        <v>420</v>
      </c>
      <c r="D24" s="196"/>
      <c r="E24" s="214"/>
      <c r="F24" s="206"/>
      <c r="G24" s="215"/>
      <c r="H24" s="212"/>
      <c r="I24" s="214"/>
      <c r="J24" s="206"/>
      <c r="K24" s="215"/>
      <c r="M24" s="214"/>
      <c r="N24" s="206"/>
      <c r="O24" s="215"/>
    </row>
    <row r="25" spans="1:15" ht="18.75">
      <c r="A25" s="214">
        <v>42285</v>
      </c>
      <c r="B25" s="206" t="s">
        <v>261</v>
      </c>
      <c r="C25" s="215">
        <v>300</v>
      </c>
      <c r="D25" s="196"/>
      <c r="E25" s="214"/>
      <c r="F25" s="206"/>
      <c r="G25" s="215"/>
      <c r="H25" s="212"/>
      <c r="I25" s="214"/>
      <c r="J25" s="206"/>
      <c r="K25" s="215"/>
      <c r="M25" s="214"/>
      <c r="N25" s="206"/>
      <c r="O25" s="215"/>
    </row>
    <row r="26" spans="1:15" ht="18.75">
      <c r="A26" s="214">
        <v>42286</v>
      </c>
      <c r="B26" s="206" t="s">
        <v>262</v>
      </c>
      <c r="C26" s="215">
        <v>5265</v>
      </c>
      <c r="D26" s="196"/>
      <c r="E26" s="214"/>
      <c r="F26" s="206"/>
      <c r="G26" s="215"/>
      <c r="H26" s="212"/>
      <c r="I26" s="214"/>
      <c r="J26" s="206"/>
      <c r="K26" s="215"/>
      <c r="M26" s="214"/>
      <c r="N26" s="206"/>
      <c r="O26" s="215"/>
    </row>
    <row r="27" spans="1:15" ht="18.75">
      <c r="A27" s="214">
        <v>42287</v>
      </c>
      <c r="B27" s="206" t="s">
        <v>263</v>
      </c>
      <c r="C27" s="215">
        <v>300</v>
      </c>
      <c r="D27" s="196"/>
      <c r="E27" s="214"/>
      <c r="F27" s="206"/>
      <c r="G27" s="215"/>
      <c r="H27" s="212"/>
      <c r="I27" s="214"/>
      <c r="J27" s="206"/>
      <c r="K27" s="215"/>
      <c r="M27" s="214"/>
      <c r="N27" s="206"/>
      <c r="O27" s="215"/>
    </row>
    <row r="28" spans="1:15" ht="18.75">
      <c r="A28" s="214">
        <v>42289</v>
      </c>
      <c r="B28" s="206" t="s">
        <v>264</v>
      </c>
      <c r="C28" s="215">
        <v>11400</v>
      </c>
      <c r="D28" s="196"/>
      <c r="E28" s="214"/>
      <c r="F28" s="206"/>
      <c r="G28" s="215"/>
      <c r="H28" s="212"/>
      <c r="I28" s="214"/>
      <c r="J28" s="206"/>
      <c r="K28" s="215"/>
      <c r="M28" s="214"/>
      <c r="N28" s="206"/>
      <c r="O28" s="215"/>
    </row>
    <row r="29" spans="1:15" ht="18.75">
      <c r="A29" s="214">
        <v>42289</v>
      </c>
      <c r="B29" s="206" t="s">
        <v>260</v>
      </c>
      <c r="C29" s="215">
        <v>420</v>
      </c>
      <c r="D29" s="196"/>
      <c r="E29" s="214"/>
      <c r="F29" s="206"/>
      <c r="G29" s="215"/>
      <c r="H29" s="212"/>
      <c r="I29" s="214"/>
      <c r="J29" s="206"/>
      <c r="K29" s="215"/>
      <c r="M29" s="214"/>
      <c r="N29" s="206"/>
      <c r="O29" s="215"/>
    </row>
    <row r="30" spans="1:15" ht="18.75">
      <c r="A30" s="214">
        <v>42289</v>
      </c>
      <c r="B30" s="206" t="s">
        <v>265</v>
      </c>
      <c r="C30" s="215">
        <f>580</f>
        <v>580</v>
      </c>
      <c r="D30" s="196"/>
      <c r="E30" s="214"/>
      <c r="F30" s="206"/>
      <c r="G30" s="215"/>
      <c r="H30" s="212"/>
      <c r="I30" s="214"/>
      <c r="J30" s="206"/>
      <c r="K30" s="215"/>
      <c r="M30" s="214"/>
      <c r="N30" s="206"/>
      <c r="O30" s="215"/>
    </row>
    <row r="31" spans="1:15" ht="18.75">
      <c r="A31" s="214">
        <v>42289</v>
      </c>
      <c r="B31" s="206" t="s">
        <v>266</v>
      </c>
      <c r="C31" s="215">
        <v>1200</v>
      </c>
      <c r="D31" s="196"/>
      <c r="E31" s="214"/>
      <c r="F31" s="206"/>
      <c r="G31" s="215"/>
      <c r="H31" s="212"/>
      <c r="I31" s="214"/>
      <c r="J31" s="206"/>
      <c r="K31" s="215"/>
      <c r="M31" s="214"/>
      <c r="N31" s="206"/>
      <c r="O31" s="215"/>
    </row>
    <row r="32" spans="1:15" ht="18.75">
      <c r="A32" s="214">
        <v>42262</v>
      </c>
      <c r="B32" s="206" t="s">
        <v>274</v>
      </c>
      <c r="C32" s="215">
        <v>950</v>
      </c>
      <c r="D32" s="196"/>
      <c r="E32" s="214"/>
      <c r="F32" s="206"/>
      <c r="G32" s="215"/>
      <c r="H32" s="212"/>
      <c r="I32" s="214"/>
      <c r="J32" s="206"/>
      <c r="K32" s="215"/>
      <c r="M32" s="214"/>
      <c r="N32" s="206"/>
      <c r="O32" s="215"/>
    </row>
    <row r="33" spans="1:15" ht="18.75">
      <c r="A33" s="214"/>
      <c r="B33" s="206"/>
      <c r="C33" s="215"/>
      <c r="D33" s="196"/>
      <c r="E33" s="214"/>
      <c r="F33" s="206"/>
      <c r="G33" s="215"/>
      <c r="H33" s="212"/>
      <c r="I33" s="214"/>
      <c r="J33" s="206"/>
      <c r="K33" s="215"/>
      <c r="M33" s="214"/>
      <c r="N33" s="206"/>
      <c r="O33" s="215"/>
    </row>
    <row r="34" spans="1:15" ht="18.75">
      <c r="A34" s="214"/>
      <c r="B34" s="206"/>
      <c r="C34" s="215"/>
      <c r="D34" s="196"/>
      <c r="E34" s="214"/>
      <c r="F34" s="206"/>
      <c r="G34" s="215"/>
      <c r="H34" s="212"/>
      <c r="I34" s="214"/>
      <c r="J34" s="206"/>
      <c r="K34" s="215"/>
      <c r="M34" s="214"/>
      <c r="N34" s="206"/>
      <c r="O34" s="215"/>
    </row>
    <row r="35" spans="1:15" ht="18.75">
      <c r="A35" s="214"/>
      <c r="B35" s="206"/>
      <c r="C35" s="215"/>
      <c r="D35" s="196"/>
      <c r="E35" s="214"/>
      <c r="F35" s="206"/>
      <c r="G35" s="215"/>
      <c r="H35" s="212"/>
      <c r="I35" s="214"/>
      <c r="J35" s="206"/>
      <c r="K35" s="215"/>
      <c r="M35" s="214"/>
      <c r="N35" s="206"/>
      <c r="O35" s="215"/>
    </row>
    <row r="36" spans="1:15" ht="18.75">
      <c r="A36" s="214"/>
      <c r="B36" s="206"/>
      <c r="C36" s="215"/>
      <c r="D36" s="196"/>
      <c r="E36" s="214"/>
      <c r="F36" s="206"/>
      <c r="G36" s="215"/>
      <c r="H36" s="212"/>
      <c r="I36" s="214"/>
      <c r="J36" s="206"/>
      <c r="K36" s="215"/>
      <c r="M36" s="214"/>
      <c r="N36" s="206"/>
      <c r="O36" s="215"/>
    </row>
    <row r="37" spans="1:15" ht="18.75">
      <c r="A37" s="214"/>
      <c r="B37" s="206"/>
      <c r="C37" s="215"/>
      <c r="D37" s="196"/>
      <c r="E37" s="214"/>
      <c r="F37" s="206"/>
      <c r="G37" s="215"/>
      <c r="H37" s="212"/>
      <c r="I37" s="214"/>
      <c r="J37" s="206"/>
      <c r="K37" s="215"/>
      <c r="M37" s="214"/>
      <c r="N37" s="206"/>
      <c r="O37" s="215"/>
    </row>
    <row r="38" spans="1:15" s="196" customFormat="1" ht="18.75">
      <c r="A38" s="214"/>
      <c r="B38" s="206"/>
      <c r="C38" s="215"/>
      <c r="E38" s="214"/>
      <c r="F38" s="206"/>
      <c r="G38" s="215"/>
      <c r="I38" s="214"/>
      <c r="J38" s="206"/>
      <c r="K38" s="215"/>
      <c r="M38" s="214"/>
      <c r="N38" s="206"/>
      <c r="O38" s="215"/>
    </row>
    <row r="39" spans="1:15" ht="18.75">
      <c r="C39" s="213">
        <f>SUM(C3:C38)</f>
        <v>135735</v>
      </c>
      <c r="D39" s="196"/>
      <c r="E39" s="196" t="s">
        <v>33</v>
      </c>
      <c r="F39" s="196"/>
      <c r="G39" s="213">
        <f>SUM(G3:G38)</f>
        <v>13901.266</v>
      </c>
      <c r="I39" s="196"/>
      <c r="J39" s="196"/>
      <c r="K39" s="213">
        <f>SUM(K3:K38)</f>
        <v>53250</v>
      </c>
      <c r="O39" s="213">
        <f>SUM(O3:O38)</f>
        <v>28154.620000000003</v>
      </c>
    </row>
    <row r="40" spans="1:15">
      <c r="B40" s="208" t="s">
        <v>240</v>
      </c>
      <c r="C40" s="243">
        <f>Carmie!F72</f>
        <v>55350</v>
      </c>
    </row>
    <row r="41" spans="1:15">
      <c r="B41" s="208" t="s">
        <v>241</v>
      </c>
      <c r="C41" s="243">
        <f>C39-C40</f>
        <v>80385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BOD Credit Details</vt:lpstr>
      <vt:lpstr>BODs Expenses</vt:lpstr>
      <vt:lpstr>expense logsheet</vt:lpstr>
      <vt:lpstr>Mont Albo</vt:lpstr>
      <vt:lpstr>Greenfield</vt:lpstr>
      <vt:lpstr>Kuya Tommy</vt:lpstr>
      <vt:lpstr>Carmie</vt:lpstr>
      <vt:lpstr>Carmie's Breakdown</vt:lpstr>
      <vt:lpstr>Kuya Maynard</vt:lpstr>
      <vt:lpstr>List of Employees_Allowance</vt:lpstr>
    </vt:vector>
  </TitlesOfParts>
  <Company>Seagate Technology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Millete Mendoza San Juan</dc:creator>
  <cp:lastModifiedBy>user</cp:lastModifiedBy>
  <cp:lastPrinted>2015-09-19T06:52:57Z</cp:lastPrinted>
  <dcterms:created xsi:type="dcterms:W3CDTF">2015-05-06T05:51:34Z</dcterms:created>
  <dcterms:modified xsi:type="dcterms:W3CDTF">2015-11-14T04:12:06Z</dcterms:modified>
</cp:coreProperties>
</file>