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505"/>
  <workbookPr/>
  <mc:AlternateContent xmlns:mc="http://schemas.openxmlformats.org/markup-compatibility/2006">
    <mc:Choice Requires="x15">
      <x15ac:absPath xmlns:x15ac="http://schemas.microsoft.com/office/spreadsheetml/2010/11/ac" url="/Users/millete/Documents/7Elements/"/>
    </mc:Choice>
  </mc:AlternateContent>
  <bookViews>
    <workbookView xWindow="0" yWindow="0" windowWidth="28800" windowHeight="18000" tabRatio="1000"/>
  </bookViews>
  <sheets>
    <sheet name="Summary" sheetId="17" r:id="rId1"/>
    <sheet name="Summary breakdown" sheetId="12" r:id="rId2"/>
    <sheet name="expense logsheet" sheetId="2" r:id="rId3"/>
    <sheet name="Mont Albo" sheetId="10" r:id="rId4"/>
    <sheet name="Greenfield" sheetId="9" r:id="rId5"/>
    <sheet name="Carmie" sheetId="11" r:id="rId6"/>
    <sheet name="Kuya Tommy" sheetId="5" r:id="rId7"/>
    <sheet name="SPA Income" sheetId="18" r:id="rId8"/>
    <sheet name="Laundry" sheetId="21" r:id="rId9"/>
    <sheet name="BOD Credit Details" sheetId="3" r:id="rId10"/>
    <sheet name="BODs Expenses" sheetId="4" r:id="rId11"/>
    <sheet name="Kuya Maynard" sheetId="15" r:id="rId12"/>
  </sheets>
  <definedNames>
    <definedName name="_xlnm._FilterDatabase" localSheetId="2" hidden="1">'expense logsheet'!$D$1:$D$101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1" i="4" l="1"/>
  <c r="B32" i="21"/>
  <c r="C24" i="18"/>
  <c r="G24" i="18"/>
  <c r="B26" i="18"/>
  <c r="C5" i="17"/>
  <c r="D17" i="12"/>
  <c r="L17" i="12"/>
  <c r="M17" i="12"/>
  <c r="C9" i="17"/>
  <c r="M18" i="12"/>
  <c r="C10" i="17"/>
  <c r="I19" i="12"/>
  <c r="D12" i="5"/>
  <c r="J19" i="12"/>
  <c r="K19" i="12"/>
  <c r="M19" i="12"/>
  <c r="C11" i="17"/>
  <c r="I20" i="12"/>
  <c r="J20" i="12"/>
  <c r="K20" i="12"/>
  <c r="L20" i="12"/>
  <c r="M20" i="12"/>
  <c r="C12" i="17"/>
  <c r="D28" i="12"/>
  <c r="G28" i="12"/>
  <c r="M28" i="12"/>
  <c r="G3" i="4"/>
  <c r="G29" i="12"/>
  <c r="G4" i="4"/>
  <c r="L29" i="12"/>
  <c r="M29" i="12"/>
  <c r="J5" i="4"/>
  <c r="C30" i="12"/>
  <c r="D30" i="12"/>
  <c r="E30" i="12"/>
  <c r="F30" i="12"/>
  <c r="J12" i="4"/>
  <c r="J13" i="4"/>
  <c r="J14" i="4"/>
  <c r="J15" i="4"/>
  <c r="J16" i="4"/>
  <c r="G30" i="12"/>
  <c r="H30" i="12"/>
  <c r="J19" i="4"/>
  <c r="J20" i="4"/>
  <c r="J30" i="12"/>
  <c r="M30" i="12"/>
  <c r="D31" i="12"/>
  <c r="J31" i="12"/>
  <c r="M31" i="12"/>
  <c r="P3" i="4"/>
  <c r="D32" i="12"/>
  <c r="H32" i="12"/>
  <c r="P5" i="4"/>
  <c r="I32" i="12"/>
  <c r="P6" i="4"/>
  <c r="J32" i="12"/>
  <c r="P8" i="4"/>
  <c r="K32" i="12"/>
  <c r="M32" i="12"/>
  <c r="D33" i="12"/>
  <c r="E33" i="12"/>
  <c r="F33" i="12"/>
  <c r="S9" i="4"/>
  <c r="S10" i="4"/>
  <c r="I33" i="12"/>
  <c r="M33" i="12"/>
  <c r="V3" i="4"/>
  <c r="I34" i="12"/>
  <c r="V4" i="4"/>
  <c r="V5" i="4"/>
  <c r="V6" i="4"/>
  <c r="V7" i="4"/>
  <c r="J34" i="12"/>
  <c r="M34" i="12"/>
  <c r="M35" i="12"/>
  <c r="C13" i="17"/>
  <c r="C27" i="17"/>
  <c r="C98" i="2"/>
  <c r="B98" i="2"/>
  <c r="D28" i="5"/>
  <c r="D30" i="5"/>
  <c r="C100" i="11"/>
  <c r="C14" i="17"/>
  <c r="G30" i="10"/>
  <c r="G35" i="10"/>
  <c r="G24" i="10"/>
  <c r="G14" i="10"/>
  <c r="L9" i="12"/>
  <c r="K11" i="12"/>
  <c r="K7" i="12"/>
  <c r="P11" i="12"/>
  <c r="P10" i="12"/>
  <c r="P9" i="12"/>
  <c r="P8" i="12"/>
  <c r="P7" i="12"/>
  <c r="P6" i="12"/>
  <c r="P5" i="12"/>
  <c r="M49" i="10"/>
  <c r="AV45" i="10"/>
  <c r="AL45" i="10"/>
  <c r="AB45" i="10"/>
  <c r="R45" i="10"/>
  <c r="R47" i="10"/>
  <c r="R49" i="10"/>
  <c r="L35" i="12"/>
  <c r="M5" i="12"/>
  <c r="L12" i="12"/>
  <c r="M6" i="12"/>
  <c r="M7" i="12"/>
  <c r="L21" i="12"/>
  <c r="O12" i="12"/>
  <c r="Q11" i="12"/>
  <c r="Q8" i="12"/>
  <c r="Q9" i="12"/>
  <c r="Q10" i="12"/>
  <c r="Q7" i="12"/>
  <c r="Q6" i="12"/>
  <c r="Q5" i="12"/>
  <c r="Q12" i="12"/>
  <c r="P12" i="12"/>
  <c r="K21" i="12"/>
  <c r="K12" i="12"/>
  <c r="K35" i="12"/>
  <c r="D17" i="3"/>
  <c r="D18" i="3"/>
  <c r="D19" i="3"/>
  <c r="D20" i="3"/>
  <c r="D21" i="3"/>
  <c r="D22" i="3"/>
  <c r="D16" i="3"/>
  <c r="E23" i="3"/>
  <c r="C23" i="3"/>
  <c r="S6" i="3"/>
  <c r="D23" i="3"/>
  <c r="J8" i="12"/>
  <c r="M8" i="12"/>
  <c r="C100" i="2"/>
  <c r="M6" i="11"/>
  <c r="J39" i="11"/>
  <c r="O6" i="11"/>
  <c r="N6" i="11"/>
  <c r="M5" i="11"/>
  <c r="N5" i="11"/>
  <c r="N4" i="11"/>
  <c r="M4" i="11"/>
  <c r="O4" i="11"/>
  <c r="M7" i="11"/>
  <c r="N7" i="11"/>
  <c r="P4" i="11"/>
  <c r="P6" i="11"/>
  <c r="B38" i="15"/>
  <c r="B40" i="15"/>
  <c r="B43" i="15"/>
  <c r="B45" i="15"/>
  <c r="B16" i="15"/>
  <c r="B11" i="15"/>
  <c r="B41" i="15"/>
  <c r="J21" i="12"/>
  <c r="J11" i="12"/>
  <c r="M11" i="12"/>
  <c r="J10" i="12"/>
  <c r="M10" i="12"/>
  <c r="J9" i="12"/>
  <c r="M9" i="12"/>
  <c r="S10" i="3"/>
  <c r="S9" i="3"/>
  <c r="S8" i="3"/>
  <c r="S7" i="3"/>
  <c r="S5" i="3"/>
  <c r="S4" i="3"/>
  <c r="M12" i="12"/>
  <c r="M21" i="12"/>
  <c r="S11" i="3"/>
  <c r="J35" i="12"/>
  <c r="J12" i="12"/>
  <c r="D21" i="12"/>
  <c r="E21" i="12"/>
  <c r="F21" i="12"/>
  <c r="G21" i="12"/>
  <c r="H21" i="12"/>
  <c r="C21" i="12"/>
  <c r="M23" i="12"/>
  <c r="M24" i="12"/>
  <c r="I21" i="12"/>
  <c r="M22" i="12"/>
  <c r="R11" i="12"/>
  <c r="S11" i="12"/>
  <c r="T31" i="4"/>
  <c r="N31" i="4"/>
  <c r="I35" i="12"/>
  <c r="C35" i="12"/>
  <c r="R6" i="12"/>
  <c r="S6" i="12"/>
  <c r="H35" i="12"/>
  <c r="G35" i="12"/>
  <c r="F35" i="12"/>
  <c r="E35" i="12"/>
  <c r="D35" i="12"/>
  <c r="R10" i="12"/>
  <c r="S10" i="12"/>
  <c r="R9" i="12"/>
  <c r="S9" i="12"/>
  <c r="R8" i="12"/>
  <c r="S8" i="12"/>
  <c r="R5" i="12"/>
  <c r="S5" i="12"/>
  <c r="D12" i="12"/>
  <c r="E12" i="12"/>
  <c r="F12" i="12"/>
  <c r="G12" i="12"/>
  <c r="H12" i="12"/>
  <c r="I12" i="12"/>
  <c r="C12" i="12"/>
  <c r="M13" i="12"/>
  <c r="C4" i="17"/>
  <c r="M36" i="12"/>
  <c r="F100" i="11"/>
  <c r="J19" i="11"/>
  <c r="C6" i="17"/>
  <c r="C16" i="17"/>
  <c r="C101" i="11"/>
  <c r="J101" i="11"/>
  <c r="O5" i="11"/>
  <c r="R7" i="12"/>
  <c r="D27" i="10"/>
  <c r="D27" i="9"/>
  <c r="S7" i="12"/>
  <c r="S12" i="12"/>
  <c r="R12" i="12"/>
  <c r="P5" i="11"/>
  <c r="O7" i="11"/>
  <c r="P7" i="11"/>
  <c r="J102" i="11"/>
  <c r="Q11" i="3"/>
  <c r="C17" i="17"/>
  <c r="T12" i="12"/>
  <c r="B31" i="4"/>
  <c r="E31" i="4"/>
  <c r="K31" i="4"/>
  <c r="Q31" i="4"/>
  <c r="E4" i="17"/>
  <c r="C19" i="17"/>
  <c r="C29" i="17"/>
  <c r="B33" i="4"/>
  <c r="O11" i="3"/>
  <c r="M11" i="3"/>
  <c r="K11" i="3"/>
  <c r="I11" i="3"/>
  <c r="G11" i="3"/>
  <c r="E11" i="3"/>
  <c r="C11" i="3"/>
  <c r="D10" i="3"/>
  <c r="D9" i="3"/>
  <c r="D8" i="3"/>
  <c r="D7" i="3"/>
  <c r="D6" i="3"/>
  <c r="D5" i="3"/>
  <c r="D4" i="3"/>
  <c r="D11" i="3"/>
</calcChain>
</file>

<file path=xl/comments1.xml><?xml version="1.0" encoding="utf-8"?>
<comments xmlns="http://schemas.openxmlformats.org/spreadsheetml/2006/main">
  <authors>
    <author>Millete Mendoza San Juan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(Dinner 4810)</t>
        </r>
      </text>
    </comment>
  </commentList>
</comments>
</file>

<file path=xl/comments2.xml><?xml version="1.0" encoding="utf-8"?>
<comments xmlns="http://schemas.openxmlformats.org/spreadsheetml/2006/main">
  <authors>
    <author>Millete Mendoza San Juan</author>
  </authors>
  <commentList>
    <comment ref="D22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  <comment ref="D23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</commentList>
</comments>
</file>

<file path=xl/comments3.xml><?xml version="1.0" encoding="utf-8"?>
<comments xmlns="http://schemas.openxmlformats.org/spreadsheetml/2006/main">
  <authors>
    <author>Millete Mendoza San Juan</author>
  </authors>
  <commentList>
    <comment ref="C3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  <comment ref="C4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</commentList>
</comments>
</file>

<file path=xl/comments4.xml><?xml version="1.0" encoding="utf-8"?>
<comments xmlns="http://schemas.openxmlformats.org/spreadsheetml/2006/main">
  <authors>
    <author>Millete Mendoza San Juan</author>
  </authors>
  <commentList>
    <comment ref="B5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actual transfer Aug 24,2015</t>
        </r>
      </text>
    </comment>
  </commentList>
</comments>
</file>

<file path=xl/sharedStrings.xml><?xml version="1.0" encoding="utf-8"?>
<sst xmlns="http://schemas.openxmlformats.org/spreadsheetml/2006/main" count="601" uniqueCount="333">
  <si>
    <t>Date</t>
  </si>
  <si>
    <t>Debit</t>
  </si>
  <si>
    <t>Credit</t>
  </si>
  <si>
    <t>Remarks</t>
  </si>
  <si>
    <t>Mashe</t>
  </si>
  <si>
    <t>Millete</t>
  </si>
  <si>
    <t>Heidz</t>
  </si>
  <si>
    <t>Sockie</t>
  </si>
  <si>
    <t>Ate Meng</t>
  </si>
  <si>
    <t>Grace</t>
  </si>
  <si>
    <t>TOTAL</t>
  </si>
  <si>
    <t>Balance</t>
  </si>
  <si>
    <t>Rachel's Meeting with Mont Albo</t>
  </si>
  <si>
    <t>MA Franchising</t>
  </si>
  <si>
    <t>MA Training</t>
  </si>
  <si>
    <t>Carmie's Meeting with Mont Albo</t>
  </si>
  <si>
    <t>Sherryll</t>
  </si>
  <si>
    <t>Dre@mers</t>
  </si>
  <si>
    <t>% Share</t>
  </si>
  <si>
    <t>3.5M</t>
  </si>
  <si>
    <t>1st</t>
  </si>
  <si>
    <t>2nd</t>
  </si>
  <si>
    <t>3rd</t>
  </si>
  <si>
    <t>4th</t>
  </si>
  <si>
    <t>5th</t>
  </si>
  <si>
    <t>6th</t>
  </si>
  <si>
    <t>Total</t>
  </si>
  <si>
    <t>Kuya Tommy</t>
  </si>
  <si>
    <t>SN</t>
  </si>
  <si>
    <t>Amount</t>
  </si>
  <si>
    <t>Expense</t>
  </si>
  <si>
    <t>Taxi going Green Field</t>
  </si>
  <si>
    <t>Canvassing by Carmie and Kuya Tomy</t>
  </si>
  <si>
    <t>Green Lane Form and processing</t>
  </si>
  <si>
    <t>SEC Processing Fee (Atty)</t>
  </si>
  <si>
    <t>SEC Docs LBC to Kuya Maynard</t>
  </si>
  <si>
    <t>Subtotal</t>
  </si>
  <si>
    <t>7th</t>
  </si>
  <si>
    <t>GF</t>
  </si>
  <si>
    <t>Carmie - Training Allowance</t>
  </si>
  <si>
    <t>Greenfield</t>
  </si>
  <si>
    <t>Mont Albo</t>
  </si>
  <si>
    <t>Carmie</t>
  </si>
  <si>
    <t xml:space="preserve">OCULAR (BOARDINGHOUSE) AND CANVASS CLEANING MATERIALS </t>
  </si>
  <si>
    <t>Interview</t>
  </si>
  <si>
    <t>July 27-31</t>
  </si>
  <si>
    <t>Interview &amp; Contract Signing</t>
  </si>
  <si>
    <t>Carmie's Fund</t>
  </si>
  <si>
    <t>7Elements</t>
  </si>
  <si>
    <t>MA</t>
  </si>
  <si>
    <t>Load</t>
  </si>
  <si>
    <t>Canvass Apartment</t>
  </si>
  <si>
    <t>Interview/Trainees Allowance-Aug 17-18/Tshirt</t>
  </si>
  <si>
    <t>Allowance (Aug 24-29)</t>
  </si>
  <si>
    <t>Allowance-Aug 27-29/Load/Tshirt</t>
  </si>
  <si>
    <t>Allowance-Sep 1-5/Load</t>
  </si>
  <si>
    <t>Allowance-Sep 4</t>
  </si>
  <si>
    <t>Allowance-Sep 7-8, 12/Load</t>
  </si>
  <si>
    <t>Allowance-Sep 9-12/Load/Fare</t>
  </si>
  <si>
    <t>Allowance-Sep11/Load</t>
  </si>
  <si>
    <t>Allowance-Sep14-19/Load</t>
  </si>
  <si>
    <t>Nameplate/Allowance-Sep17-19</t>
  </si>
  <si>
    <t>Canvass Venue</t>
  </si>
  <si>
    <t>Aug 17-18</t>
  </si>
  <si>
    <t>From</t>
  </si>
  <si>
    <t>Purpose</t>
  </si>
  <si>
    <t>Venue Downpayment</t>
  </si>
  <si>
    <t>Cash on hand (CARMIE)</t>
  </si>
  <si>
    <t>Remark</t>
  </si>
  <si>
    <t>Bond</t>
  </si>
  <si>
    <t>CASH IN</t>
  </si>
  <si>
    <t>CASH OUT</t>
  </si>
  <si>
    <t>GreenField</t>
  </si>
  <si>
    <t>BODs</t>
  </si>
  <si>
    <t>Construction Drawing</t>
  </si>
  <si>
    <t>Payment 1</t>
  </si>
  <si>
    <t>Payment 2</t>
  </si>
  <si>
    <t>Total Cash IN</t>
  </si>
  <si>
    <t>Expenses</t>
  </si>
  <si>
    <t>Total Cash Out</t>
  </si>
  <si>
    <t>CASH BALANCE</t>
  </si>
  <si>
    <t>7Element Cash Flow Report</t>
  </si>
  <si>
    <t>Allowance/load</t>
  </si>
  <si>
    <t>Total Other Cash Out</t>
  </si>
  <si>
    <t>CCTV</t>
  </si>
  <si>
    <t>Aircon</t>
  </si>
  <si>
    <t>Sauna</t>
  </si>
  <si>
    <t>MA - Franchising /Materials</t>
  </si>
  <si>
    <t>Heidie</t>
  </si>
  <si>
    <t>Notary of SEC docs (230sgd)</t>
  </si>
  <si>
    <t>Consul Stamp of SEC docs(119sgd)</t>
  </si>
  <si>
    <t>Taxi going to PE (19.10sgd)</t>
  </si>
  <si>
    <t>Speedpost (40sgd)</t>
  </si>
  <si>
    <t>LBC of SEC docs(19sgd)</t>
  </si>
  <si>
    <t>Jollibee(8.45sgd)</t>
  </si>
  <si>
    <t>Mar16-Aug 6</t>
  </si>
  <si>
    <t>Phone Bills (91.15sgd)</t>
  </si>
  <si>
    <t>LBC of SEC to Atty</t>
  </si>
  <si>
    <t>LBC</t>
  </si>
  <si>
    <t>Rachel's Interview</t>
  </si>
  <si>
    <t>Allowance</t>
  </si>
  <si>
    <t>LBC (SEC Docs, 62sgd)</t>
  </si>
  <si>
    <t>Permit Application</t>
  </si>
  <si>
    <t>Payment 3</t>
  </si>
  <si>
    <t>HDD - 2TB (109sgd)</t>
  </si>
  <si>
    <t>Fare/lunch with Kuya Tommy</t>
  </si>
  <si>
    <t>Fare/Allowance/Blue items</t>
  </si>
  <si>
    <t>Allowance/Load</t>
  </si>
  <si>
    <t>Allowance/Down Payment for Catering</t>
  </si>
  <si>
    <t>Payment 4</t>
  </si>
  <si>
    <t>Fare/Blue items</t>
  </si>
  <si>
    <t>Payment 5</t>
  </si>
  <si>
    <t>Chocolates (114sgd)</t>
  </si>
  <si>
    <t>Employee T-shirt (353sgd)</t>
  </si>
  <si>
    <t>Payment 6</t>
  </si>
  <si>
    <t>Payment 7</t>
  </si>
  <si>
    <t>Wine (26sgd)</t>
  </si>
  <si>
    <t>Baggage (29sgd)</t>
  </si>
  <si>
    <t>Payment 8</t>
  </si>
  <si>
    <t>Allowance/Tshirt/Load</t>
  </si>
  <si>
    <t>Down  Payment Flowers/Allowance/Lunch</t>
  </si>
  <si>
    <t>Allowance /Load/Blue Items</t>
  </si>
  <si>
    <t>Load/Catering/Venue/Flowers</t>
  </si>
  <si>
    <t>Allowance/Load/Business Permit/CGL/Padulas/Cedula</t>
  </si>
  <si>
    <t>NOTE:</t>
  </si>
  <si>
    <t>Expenses for Blessing - included in Carmie</t>
  </si>
  <si>
    <t>PERMITS/OTHERS</t>
  </si>
  <si>
    <t>Brgy. clearance 8/6/15</t>
  </si>
  <si>
    <t>Notary Zoning 9/7/15</t>
  </si>
  <si>
    <t>Blue Print 9/7/15</t>
  </si>
  <si>
    <t>Brgy. clearance 9/7/15</t>
  </si>
  <si>
    <t>Office of Zoning Administrator 9/7/15</t>
  </si>
  <si>
    <t>City treasury Office 9/7/15</t>
  </si>
  <si>
    <t>Buereu of fire Fee</t>
  </si>
  <si>
    <t>City treasurers office</t>
  </si>
  <si>
    <t>Miscellaneous</t>
  </si>
  <si>
    <t>Phoyo copy 8/13/15</t>
  </si>
  <si>
    <t>LBC 8/14/15</t>
  </si>
  <si>
    <t>Gas 7/28/15</t>
  </si>
  <si>
    <t>Parking fee 7/28/15</t>
  </si>
  <si>
    <t>Tolgate 7/28/15</t>
  </si>
  <si>
    <t>Gas 8/6/15</t>
  </si>
  <si>
    <t>Togate 8/13/15</t>
  </si>
  <si>
    <t>Toll gate 8/13/15</t>
  </si>
  <si>
    <t>Food 8/13/15</t>
  </si>
  <si>
    <t>Parking fee 8/18/15</t>
  </si>
  <si>
    <t>Gas 8/18/15</t>
  </si>
  <si>
    <t>Tolgate 8/18/15</t>
  </si>
  <si>
    <t>Gas 09/07/15</t>
  </si>
  <si>
    <t>Gas 09/20/15</t>
  </si>
  <si>
    <t>Tollgate 9/7/15</t>
  </si>
  <si>
    <t>Gas 9/29/15</t>
  </si>
  <si>
    <t>Parking fee 9/29/15</t>
  </si>
  <si>
    <t>Tolgate 9/29/15</t>
  </si>
  <si>
    <t>Tol gate 9/29/15</t>
  </si>
  <si>
    <t>Signages (Panaflex)</t>
  </si>
  <si>
    <t>Allowance/Nameplate</t>
  </si>
  <si>
    <t>Fare/Drink</t>
  </si>
  <si>
    <t>Health Card/Allowance/Blue Items</t>
  </si>
  <si>
    <t xml:space="preserve">Credit </t>
  </si>
  <si>
    <t>Month</t>
  </si>
  <si>
    <t>Phone Bills (Sep-Oct, 23.4064sgd)</t>
  </si>
  <si>
    <t>Priest stipend</t>
  </si>
  <si>
    <t>Polo shirt (54.6sgd)</t>
  </si>
  <si>
    <t>Allowance Kuya Maynard</t>
  </si>
  <si>
    <t>Payment 9</t>
  </si>
  <si>
    <t>Updated Sockie's expences, Rae's allowance</t>
  </si>
  <si>
    <t>Fire extinguisher 9/9/15</t>
  </si>
  <si>
    <t>Allowance/Chair Cushion/Mirror</t>
  </si>
  <si>
    <t>Allowance/Permit Fare</t>
  </si>
  <si>
    <t>Fare/15BoookletsProvisional Receipt</t>
  </si>
  <si>
    <t>BIR/Permits Included in carmie</t>
  </si>
  <si>
    <t>Sauna- 46K included in MA</t>
  </si>
  <si>
    <t>Delivery Charge Bed/Fare/SIM Activation</t>
  </si>
  <si>
    <t>Fare/Lunch/Load</t>
  </si>
  <si>
    <t>Allowance/Load/fare</t>
  </si>
  <si>
    <t>Allowance/Flowers/Laundry/Blue Items</t>
  </si>
  <si>
    <t>Acrylic Signages</t>
  </si>
  <si>
    <t>Gas/Toll</t>
  </si>
  <si>
    <t>WIFI/SIM Keyboard/Lunch/fare</t>
  </si>
  <si>
    <t>Returned by Kuya Maynard</t>
  </si>
  <si>
    <t>Payment 10</t>
  </si>
  <si>
    <t>Stock Glass divider/breakfast/fare</t>
  </si>
  <si>
    <t>Fare</t>
  </si>
  <si>
    <t>Fare/Load/First aid kit/Allowance</t>
  </si>
  <si>
    <t>Fare/Allowance</t>
  </si>
  <si>
    <t>Payment 11</t>
  </si>
  <si>
    <t>Phone Call - Kuya Tommy (33.33sgd)</t>
  </si>
  <si>
    <t>Phone Call- Kuya Tommy (6.60sgd)</t>
  </si>
  <si>
    <t>Shares Summary (Oct 31, 2015)</t>
  </si>
  <si>
    <t>200K</t>
  </si>
  <si>
    <t>TOP-UP</t>
  </si>
  <si>
    <t xml:space="preserve">Updated Grace Expenses based on the receipts . Added Kuya Maynard's allowance , Added 5750php </t>
  </si>
  <si>
    <t>Allowance (Oct 12-31) included in carmie</t>
  </si>
  <si>
    <t>Fare/Lunch</t>
  </si>
  <si>
    <t>Carmie's Salary/Fare</t>
  </si>
  <si>
    <t>Fare/Load/Fire Safety Inspection</t>
  </si>
  <si>
    <t>Allowance/Fare/Tools</t>
  </si>
  <si>
    <t>Sauna Delivery/Fare/Dish Drainer</t>
  </si>
  <si>
    <t>Dinner (18.36*8)sgd</t>
  </si>
  <si>
    <t>Added 18.36sgd Dinner in the Balance</t>
  </si>
  <si>
    <t>Allowance/Fare</t>
  </si>
  <si>
    <t>Soft/Grand  Opening Expense - inside Carmie</t>
  </si>
  <si>
    <t>350K Top-up</t>
  </si>
  <si>
    <t>Total Share</t>
  </si>
  <si>
    <t>3.5M Share</t>
  </si>
  <si>
    <t>BODs Contribution</t>
  </si>
  <si>
    <t>Total Clients</t>
  </si>
  <si>
    <t>Final Bill Balance</t>
  </si>
  <si>
    <t>Less AC/CCTV</t>
  </si>
  <si>
    <t>Conttruction cost</t>
  </si>
  <si>
    <t>BODs Expense</t>
  </si>
  <si>
    <t>Cash ON HAND</t>
  </si>
  <si>
    <t>Updated Cosntruction Cost = 1628930</t>
  </si>
  <si>
    <t>Aircon / CCTV- Included in Kuya Tommy</t>
  </si>
  <si>
    <t>Fare/Permit Signature/Occupancy Permit/Baloons</t>
  </si>
  <si>
    <t>Fare/Sound System/Laundry</t>
  </si>
  <si>
    <t>Laundry/Transpo/Load</t>
  </si>
  <si>
    <t>Laundry/BioFlu</t>
  </si>
  <si>
    <t>Petty Cash/Laundry/Candies/Load</t>
  </si>
  <si>
    <t>Including AC (150.2K) &amp; CCTV (15K)</t>
  </si>
  <si>
    <t>Expenses (Outstanding)</t>
  </si>
  <si>
    <t>Total Cash</t>
  </si>
  <si>
    <t>Total Expenses (Outstanding)</t>
  </si>
  <si>
    <t>Fire Permit/Fire Extinguisher/Water Dispenser</t>
  </si>
  <si>
    <t>Downy/Detergent/laundry/fare</t>
  </si>
  <si>
    <t>Laundry</t>
  </si>
  <si>
    <t>Laundry/Transpo</t>
  </si>
  <si>
    <t>Laundry/balloons/load/fare</t>
  </si>
  <si>
    <t>Top Sheet</t>
  </si>
  <si>
    <t>Pillow Case</t>
  </si>
  <si>
    <t>Bath Robe</t>
  </si>
  <si>
    <t>Bed Sheet</t>
  </si>
  <si>
    <t>Bath Towel</t>
  </si>
  <si>
    <t>Laundry/Extension/adapter/lunch</t>
  </si>
  <si>
    <t>Nov 30  Salary</t>
  </si>
  <si>
    <t>MA Franchising Fee</t>
  </si>
  <si>
    <t>BODs Contribution  (to collect , 200K Top-up)</t>
  </si>
  <si>
    <t>NOVEMBER 2015</t>
  </si>
  <si>
    <t>DECEMBER 2015</t>
  </si>
  <si>
    <t>SubTotal</t>
  </si>
  <si>
    <t>PhoneCalls (42.68sgd)</t>
  </si>
  <si>
    <t>Other CASH OUT</t>
  </si>
  <si>
    <t>Washing Machine/Dryer</t>
  </si>
  <si>
    <t>Laundry/tea/Candies</t>
  </si>
  <si>
    <t>Laundry/Chair/Tea Cups</t>
  </si>
  <si>
    <t>Nov 30 Salary (47,715.87)</t>
  </si>
  <si>
    <t>Salary envelope</t>
  </si>
  <si>
    <t>Laundrt/candies/Trash Bag</t>
  </si>
  <si>
    <t>pepper Spray/kadena/Padlock/Banner</t>
  </si>
  <si>
    <t>Tissue/Axion/Brown Paper/Fare</t>
  </si>
  <si>
    <t>Petty cash/banner/Laubdry/fare</t>
  </si>
  <si>
    <t>PLDT</t>
  </si>
  <si>
    <t>S&amp;R/Joy/Tissue</t>
  </si>
  <si>
    <t>GF Rent (Nov)</t>
  </si>
  <si>
    <t>GF CUSA (Nov)</t>
  </si>
  <si>
    <t>PUB (3rd wk Sep - 30Nov)</t>
  </si>
  <si>
    <t>payment to Mont Albo c/o Millete</t>
  </si>
  <si>
    <t>payment of Grace directly to Mont Albo</t>
  </si>
  <si>
    <t>payment of Ate Meng directly to Mont Albo</t>
  </si>
  <si>
    <t>payment of She directly to Mont Albo</t>
  </si>
  <si>
    <t>Apr-13</t>
  </si>
  <si>
    <t>payment of Heidz directly to Mont Albo</t>
  </si>
  <si>
    <t>payment of Sockie directly to Mont Albo</t>
  </si>
  <si>
    <t>Final Disbursement Report</t>
  </si>
  <si>
    <t xml:space="preserve">TOTAL </t>
  </si>
  <si>
    <t xml:space="preserve">with VAT </t>
  </si>
  <si>
    <t>7Elements' Initial Payment</t>
  </si>
  <si>
    <t>Balance ( No VAT)</t>
  </si>
  <si>
    <t>Balance (with VAT)</t>
  </si>
  <si>
    <t>Payments</t>
  </si>
  <si>
    <t>Dec 6, 2015 Payment to MA</t>
  </si>
  <si>
    <t xml:space="preserve">Dec 9, 2015 Payment to MA </t>
  </si>
  <si>
    <t>Dec 11, 2015 Payment to MA</t>
  </si>
  <si>
    <t>Total Payment</t>
  </si>
  <si>
    <t>Dec 11, 2015 Payment to MA - SUPPLIES 11.27.15</t>
  </si>
  <si>
    <t>Dec 11, 2015 Payment to MA - SUPPLIES 12.04.15</t>
  </si>
  <si>
    <t>Grand Total</t>
  </si>
  <si>
    <t>Final Disbursement - No VAT</t>
  </si>
  <si>
    <t>VAT</t>
  </si>
  <si>
    <t>Balance VAT</t>
  </si>
  <si>
    <t>SUPPLIES 11.27.15</t>
  </si>
  <si>
    <t>SUPPLIES 12.04.15</t>
  </si>
  <si>
    <t>As of Dec 11</t>
  </si>
  <si>
    <t>SPA Income (Nov 11-Dec 10)</t>
  </si>
  <si>
    <t>Full Payment</t>
  </si>
  <si>
    <t>ID /Laundry</t>
  </si>
  <si>
    <t>Laundry / Candies /Lipton/Fare/Petty</t>
  </si>
  <si>
    <t>MA- Final Disbursement - No VAT</t>
  </si>
  <si>
    <t>MA- VAT</t>
  </si>
  <si>
    <t>MA-Balance VAT</t>
  </si>
  <si>
    <t>MA-SUPPLIES 11.27.15</t>
  </si>
  <si>
    <t>MA-SUPPLIES 12.04.15</t>
  </si>
  <si>
    <t>Carmie - Nov 30  Salary</t>
  </si>
  <si>
    <t>Carmie - Laundry</t>
  </si>
  <si>
    <t>Carmie - Washing Machine/Dryer</t>
  </si>
  <si>
    <t>Spa Income - Nov 11-30, 2015</t>
  </si>
  <si>
    <t>Spa Income - Dec 1-10, 2015</t>
  </si>
  <si>
    <t>BOD's Contribution - Mashe</t>
  </si>
  <si>
    <t>BOD's Contribution - Millete</t>
  </si>
  <si>
    <t>BOD's Contribution - Sockie</t>
  </si>
  <si>
    <t>BOD's Contribution - Ate Meng</t>
  </si>
  <si>
    <t>BOD's Contribution - Heidz</t>
  </si>
  <si>
    <t>BOD's Contribution - Grace</t>
  </si>
  <si>
    <t>BOD's Contribution - Sherryll</t>
  </si>
  <si>
    <t>BOD's Contribution - Ate Meng - Direct Remittance to MA</t>
  </si>
  <si>
    <t>BOD's Contribution - Grace - Direct Remittance to MA</t>
  </si>
  <si>
    <t>BOD's Contribution - Sherryll - Direct Remittance to MA</t>
  </si>
  <si>
    <t>BOD's Contribution - Sockie - Direct Remittance to MA</t>
  </si>
  <si>
    <t>BOD's Contribution - Millete - Direct Remittance to MA</t>
  </si>
  <si>
    <t>BOD's Contribution - Heidz - Direct Remittance to MA</t>
  </si>
  <si>
    <t>BOD's Contribution - Mashe - direct to GF</t>
  </si>
  <si>
    <t>BOD's Contribution - Sherryll - direct to GF</t>
  </si>
  <si>
    <t>MA - Franchising</t>
  </si>
  <si>
    <t>MA - Training</t>
  </si>
  <si>
    <t>MA - Sauna</t>
  </si>
  <si>
    <t>Kuya Tommy - Aircon</t>
  </si>
  <si>
    <t>BOD's Expenses</t>
  </si>
  <si>
    <t xml:space="preserve">Carmie - </t>
  </si>
  <si>
    <t>BODs Contribution+BODs Expense+BODs Contribution (to collect)-4810 (Dinner)</t>
  </si>
  <si>
    <t>BALANCE</t>
  </si>
  <si>
    <t>OVERALL CASH FLOW</t>
  </si>
  <si>
    <t>DATE</t>
  </si>
  <si>
    <t>AMOUNT (Php)</t>
  </si>
  <si>
    <t>Quantity (pcs)</t>
  </si>
  <si>
    <t>REMARKS</t>
  </si>
  <si>
    <t xml:space="preserve">Short </t>
  </si>
  <si>
    <t>Curtains</t>
  </si>
  <si>
    <t>ATE NORA</t>
  </si>
  <si>
    <t>LAUNDRY SHOP</t>
  </si>
  <si>
    <t>ATE NORA WITH 100.00 TRANSPORTATION</t>
  </si>
  <si>
    <t>5 6</t>
  </si>
  <si>
    <t>* Yung price depende sa bigat at dumi ng item mas madumi mas mahal kasi mahirap tanggalin yung scrub kaya kelangang imano-mano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</si>
</sst>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mm/dd/yy;@"/>
    <numFmt numFmtId="166" formatCode="[$-409]d\-mmm\-yy;@"/>
    <numFmt numFmtId="167" formatCode="[$-409]dd\-mmm\-yy;@"/>
    <numFmt numFmtId="168" formatCode="#,##0.0"/>
    <numFmt numFmtId="169" formatCode="[$-3409]dd\-mmm\-yy;@"/>
  </numFmts>
  <fonts count="2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theme="1"/>
      <name val="Calibri"/>
      <family val="2"/>
      <scheme val="minor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8"/>
      <color theme="9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A5A5A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7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0" fontId="23" fillId="10" borderId="68" applyNumberFormat="0" applyAlignment="0" applyProtection="0"/>
  </cellStyleXfs>
  <cellXfs count="436">
    <xf numFmtId="0" fontId="0" fillId="0" borderId="0" xfId="0"/>
    <xf numFmtId="0" fontId="0" fillId="2" borderId="1" xfId="0" applyFont="1" applyFill="1" applyBorder="1" applyAlignment="1">
      <alignment horizontal="left"/>
    </xf>
    <xf numFmtId="3" fontId="0" fillId="2" borderId="1" xfId="0" applyNumberFormat="1" applyFont="1" applyFill="1" applyBorder="1" applyAlignment="1">
      <alignment horizontal="center"/>
    </xf>
    <xf numFmtId="0" fontId="3" fillId="0" borderId="0" xfId="0" applyFont="1"/>
    <xf numFmtId="3" fontId="1" fillId="0" borderId="16" xfId="0" applyNumberFormat="1" applyFont="1" applyFill="1" applyBorder="1" applyAlignment="1">
      <alignment horizontal="center"/>
    </xf>
    <xf numFmtId="165" fontId="1" fillId="0" borderId="17" xfId="0" applyNumberFormat="1" applyFont="1" applyFill="1" applyBorder="1" applyAlignment="1">
      <alignment horizontal="center"/>
    </xf>
    <xf numFmtId="3" fontId="0" fillId="0" borderId="0" xfId="0" applyNumberFormat="1"/>
    <xf numFmtId="166" fontId="0" fillId="2" borderId="1" xfId="0" applyNumberFormat="1" applyFont="1" applyFill="1" applyBorder="1" applyAlignment="1">
      <alignment horizontal="center"/>
    </xf>
    <xf numFmtId="166" fontId="0" fillId="2" borderId="1" xfId="0" quotePrefix="1" applyNumberFormat="1" applyFont="1" applyFill="1" applyBorder="1" applyAlignment="1">
      <alignment horizontal="center"/>
    </xf>
    <xf numFmtId="166" fontId="0" fillId="4" borderId="1" xfId="0" applyNumberFormat="1" applyFont="1" applyFill="1" applyBorder="1" applyAlignment="1">
      <alignment horizontal="center"/>
    </xf>
    <xf numFmtId="3" fontId="0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0" fillId="0" borderId="12" xfId="0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166" fontId="2" fillId="0" borderId="34" xfId="0" applyNumberFormat="1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166" fontId="0" fillId="0" borderId="12" xfId="0" applyNumberForma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/>
    <xf numFmtId="0" fontId="0" fillId="0" borderId="1" xfId="0" applyFont="1" applyBorder="1"/>
    <xf numFmtId="0" fontId="3" fillId="0" borderId="0" xfId="0" applyFont="1" applyFill="1"/>
    <xf numFmtId="0" fontId="0" fillId="0" borderId="0" xfId="0" applyFill="1"/>
    <xf numFmtId="166" fontId="0" fillId="0" borderId="1" xfId="0" applyNumberFormat="1" applyFont="1" applyFill="1" applyBorder="1" applyAlignment="1">
      <alignment horizontal="center"/>
    </xf>
    <xf numFmtId="3" fontId="0" fillId="0" borderId="1" xfId="0" applyNumberFormat="1" applyFon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vertical="center" wrapText="1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3" fontId="8" fillId="0" borderId="0" xfId="0" applyNumberFormat="1" applyFont="1" applyFill="1" applyAlignment="1">
      <alignment vertical="center" wrapText="1"/>
    </xf>
    <xf numFmtId="3" fontId="8" fillId="0" borderId="0" xfId="0" applyNumberFormat="1" applyFont="1" applyFill="1" applyAlignment="1">
      <alignment horizontal="center" vertical="center" wrapText="1"/>
    </xf>
    <xf numFmtId="0" fontId="0" fillId="0" borderId="12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3" fontId="0" fillId="2" borderId="1" xfId="0" applyNumberFormat="1" applyFont="1" applyFill="1" applyBorder="1" applyAlignment="1">
      <alignment horizontal="left"/>
    </xf>
    <xf numFmtId="0" fontId="12" fillId="0" borderId="0" xfId="0" applyFont="1"/>
    <xf numFmtId="0" fontId="13" fillId="0" borderId="0" xfId="0" applyFont="1"/>
    <xf numFmtId="3" fontId="13" fillId="0" borderId="0" xfId="0" applyNumberFormat="1" applyFont="1" applyAlignment="1">
      <alignment horizontal="center"/>
    </xf>
    <xf numFmtId="0" fontId="14" fillId="0" borderId="0" xfId="0" applyFont="1"/>
    <xf numFmtId="0" fontId="15" fillId="0" borderId="0" xfId="0" applyFont="1"/>
    <xf numFmtId="0" fontId="15" fillId="0" borderId="2" xfId="0" applyFont="1" applyBorder="1" applyAlignment="1">
      <alignment horizontal="center"/>
    </xf>
    <xf numFmtId="17" fontId="15" fillId="0" borderId="4" xfId="0" applyNumberFormat="1" applyFont="1" applyBorder="1" applyAlignment="1">
      <alignment horizontal="center"/>
    </xf>
    <xf numFmtId="16" fontId="15" fillId="0" borderId="35" xfId="0" applyNumberFormat="1" applyFont="1" applyBorder="1" applyAlignment="1">
      <alignment horizontal="center"/>
    </xf>
    <xf numFmtId="0" fontId="14" fillId="0" borderId="38" xfId="0" applyFont="1" applyFill="1" applyBorder="1"/>
    <xf numFmtId="3" fontId="14" fillId="0" borderId="39" xfId="0" applyNumberFormat="1" applyFont="1" applyFill="1" applyBorder="1" applyAlignment="1">
      <alignment horizontal="center"/>
    </xf>
    <xf numFmtId="0" fontId="14" fillId="0" borderId="0" xfId="0" applyFont="1" applyFill="1"/>
    <xf numFmtId="0" fontId="14" fillId="0" borderId="40" xfId="0" applyFont="1" applyFill="1" applyBorder="1"/>
    <xf numFmtId="0" fontId="14" fillId="0" borderId="40" xfId="0" applyFont="1" applyBorder="1"/>
    <xf numFmtId="0" fontId="14" fillId="0" borderId="49" xfId="0" applyFont="1" applyBorder="1"/>
    <xf numFmtId="0" fontId="15" fillId="0" borderId="2" xfId="0" applyFont="1" applyBorder="1"/>
    <xf numFmtId="0" fontId="14" fillId="0" borderId="38" xfId="0" applyFont="1" applyBorder="1"/>
    <xf numFmtId="3" fontId="14" fillId="0" borderId="12" xfId="0" applyNumberFormat="1" applyFont="1" applyBorder="1" applyAlignment="1">
      <alignment horizontal="center"/>
    </xf>
    <xf numFmtId="3" fontId="15" fillId="0" borderId="39" xfId="0" applyNumberFormat="1" applyFont="1" applyBorder="1" applyAlignment="1">
      <alignment horizontal="center"/>
    </xf>
    <xf numFmtId="3" fontId="14" fillId="0" borderId="1" xfId="0" applyNumberFormat="1" applyFont="1" applyBorder="1" applyAlignment="1">
      <alignment horizontal="center"/>
    </xf>
    <xf numFmtId="3" fontId="14" fillId="0" borderId="50" xfId="0" applyNumberFormat="1" applyFont="1" applyBorder="1" applyAlignment="1">
      <alignment horizontal="center"/>
    </xf>
    <xf numFmtId="3" fontId="14" fillId="0" borderId="0" xfId="0" applyNumberFormat="1" applyFont="1"/>
    <xf numFmtId="0" fontId="13" fillId="3" borderId="0" xfId="0" applyFont="1" applyFill="1"/>
    <xf numFmtId="0" fontId="16" fillId="0" borderId="0" xfId="0" applyFont="1"/>
    <xf numFmtId="3" fontId="14" fillId="0" borderId="1" xfId="0" applyNumberFormat="1" applyFont="1" applyFill="1" applyBorder="1" applyAlignment="1">
      <alignment horizontal="center"/>
    </xf>
    <xf numFmtId="3" fontId="14" fillId="0" borderId="50" xfId="0" applyNumberFormat="1" applyFont="1" applyFill="1" applyBorder="1" applyAlignment="1">
      <alignment horizontal="center"/>
    </xf>
    <xf numFmtId="0" fontId="14" fillId="0" borderId="40" xfId="0" applyFont="1" applyFill="1" applyBorder="1" applyAlignment="1">
      <alignment horizontal="left"/>
    </xf>
    <xf numFmtId="0" fontId="14" fillId="0" borderId="49" xfId="0" applyFont="1" applyFill="1" applyBorder="1" applyAlignment="1">
      <alignment horizontal="left"/>
    </xf>
    <xf numFmtId="3" fontId="14" fillId="0" borderId="12" xfId="0" applyNumberFormat="1" applyFont="1" applyFill="1" applyBorder="1" applyAlignment="1">
      <alignment horizontal="center"/>
    </xf>
    <xf numFmtId="3" fontId="0" fillId="0" borderId="0" xfId="0" applyNumberFormat="1" applyFill="1"/>
    <xf numFmtId="3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49" fontId="7" fillId="0" borderId="2" xfId="1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9" fontId="0" fillId="0" borderId="8" xfId="0" applyNumberFormat="1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0" fillId="0" borderId="10" xfId="0" applyNumberFormat="1" applyFill="1" applyBorder="1" applyAlignment="1">
      <alignment horizontal="center"/>
    </xf>
    <xf numFmtId="165" fontId="0" fillId="0" borderId="11" xfId="0" applyNumberForma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center"/>
    </xf>
    <xf numFmtId="165" fontId="1" fillId="0" borderId="11" xfId="0" applyNumberFormat="1" applyFont="1" applyFill="1" applyBorder="1" applyAlignment="1">
      <alignment horizontal="center"/>
    </xf>
    <xf numFmtId="165" fontId="0" fillId="0" borderId="12" xfId="0" applyNumberFormat="1" applyFill="1" applyBorder="1" applyAlignment="1">
      <alignment horizontal="center"/>
    </xf>
    <xf numFmtId="3" fontId="0" fillId="0" borderId="13" xfId="0" applyNumberForma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9" fontId="0" fillId="0" borderId="15" xfId="0" applyNumberFormat="1" applyFill="1" applyBorder="1" applyAlignment="1">
      <alignment horizontal="center"/>
    </xf>
    <xf numFmtId="3" fontId="0" fillId="0" borderId="16" xfId="0" applyNumberFormat="1" applyFill="1" applyBorder="1" applyAlignment="1">
      <alignment horizontal="center"/>
    </xf>
    <xf numFmtId="165" fontId="0" fillId="0" borderId="17" xfId="0" applyNumberForma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9" fontId="0" fillId="0" borderId="19" xfId="0" applyNumberFormat="1" applyFill="1" applyBorder="1" applyAlignment="1">
      <alignment horizontal="center"/>
    </xf>
    <xf numFmtId="3" fontId="0" fillId="0" borderId="20" xfId="0" applyNumberFormat="1" applyFill="1" applyBorder="1" applyAlignment="1">
      <alignment horizontal="center"/>
    </xf>
    <xf numFmtId="3" fontId="0" fillId="0" borderId="21" xfId="0" applyNumberFormat="1" applyFill="1" applyBorder="1" applyAlignment="1">
      <alignment horizontal="center"/>
    </xf>
    <xf numFmtId="165" fontId="0" fillId="0" borderId="22" xfId="0" applyNumberFormat="1" applyFill="1" applyBorder="1" applyAlignment="1">
      <alignment horizontal="center"/>
    </xf>
    <xf numFmtId="3" fontId="0" fillId="0" borderId="21" xfId="0" applyNumberFormat="1" applyFont="1" applyFill="1" applyBorder="1" applyAlignment="1">
      <alignment horizontal="center"/>
    </xf>
    <xf numFmtId="165" fontId="0" fillId="0" borderId="22" xfId="0" applyNumberFormat="1" applyFont="1" applyFill="1" applyBorder="1" applyAlignment="1">
      <alignment horizontal="center"/>
    </xf>
    <xf numFmtId="3" fontId="1" fillId="0" borderId="21" xfId="0" applyNumberFormat="1" applyFont="1" applyFill="1" applyBorder="1" applyAlignment="1">
      <alignment horizontal="center"/>
    </xf>
    <xf numFmtId="165" fontId="1" fillId="0" borderId="22" xfId="0" applyNumberFormat="1" applyFont="1" applyFill="1" applyBorder="1" applyAlignment="1">
      <alignment horizontal="center"/>
    </xf>
    <xf numFmtId="165" fontId="0" fillId="0" borderId="23" xfId="0" applyNumberFormat="1" applyFill="1" applyBorder="1" applyAlignment="1">
      <alignment horizontal="center"/>
    </xf>
    <xf numFmtId="0" fontId="8" fillId="0" borderId="24" xfId="0" applyFont="1" applyFill="1" applyBorder="1" applyAlignment="1">
      <alignment horizontal="center"/>
    </xf>
    <xf numFmtId="9" fontId="8" fillId="0" borderId="25" xfId="0" applyNumberFormat="1" applyFont="1" applyFill="1" applyBorder="1" applyAlignment="1">
      <alignment horizontal="center"/>
    </xf>
    <xf numFmtId="3" fontId="8" fillId="0" borderId="26" xfId="0" applyNumberFormat="1" applyFont="1" applyFill="1" applyBorder="1" applyAlignment="1">
      <alignment horizontal="center"/>
    </xf>
    <xf numFmtId="3" fontId="8" fillId="0" borderId="27" xfId="0" applyNumberFormat="1" applyFont="1" applyFill="1" applyBorder="1" applyAlignment="1">
      <alignment horizontal="center"/>
    </xf>
    <xf numFmtId="165" fontId="8" fillId="0" borderId="28" xfId="0" applyNumberFormat="1" applyFont="1" applyFill="1" applyBorder="1" applyAlignment="1">
      <alignment horizontal="center"/>
    </xf>
    <xf numFmtId="3" fontId="8" fillId="0" borderId="32" xfId="0" applyNumberFormat="1" applyFont="1" applyFill="1" applyBorder="1" applyAlignment="1">
      <alignment horizontal="center"/>
    </xf>
    <xf numFmtId="0" fontId="2" fillId="0" borderId="0" xfId="0" applyFont="1" applyFill="1"/>
    <xf numFmtId="165" fontId="1" fillId="0" borderId="33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166" fontId="0" fillId="0" borderId="50" xfId="0" applyNumberForma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33" xfId="0" applyFont="1" applyBorder="1" applyAlignment="1">
      <alignment horizontal="center" vertical="center" wrapText="1"/>
    </xf>
    <xf numFmtId="1" fontId="8" fillId="0" borderId="33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" fontId="0" fillId="0" borderId="0" xfId="0" applyNumberFormat="1" applyAlignment="1">
      <alignment horizontal="center" vertical="center" wrapText="1"/>
    </xf>
    <xf numFmtId="16" fontId="0" fillId="0" borderId="0" xfId="0" applyNumberFormat="1"/>
    <xf numFmtId="4" fontId="2" fillId="0" borderId="34" xfId="0" applyNumberFormat="1" applyFon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50" xfId="0" applyNumberFormat="1" applyBorder="1" applyAlignment="1">
      <alignment horizontal="center" vertical="center" wrapText="1"/>
    </xf>
    <xf numFmtId="4" fontId="8" fillId="0" borderId="33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2" fillId="0" borderId="34" xfId="0" applyNumberFormat="1" applyFont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 wrapText="1"/>
    </xf>
    <xf numFmtId="3" fontId="0" fillId="0" borderId="50" xfId="0" applyNumberFormat="1" applyBorder="1" applyAlignment="1">
      <alignment horizontal="center" vertical="center" wrapText="1"/>
    </xf>
    <xf numFmtId="3" fontId="8" fillId="0" borderId="33" xfId="0" applyNumberFormat="1" applyFont="1" applyBorder="1" applyAlignment="1">
      <alignment horizontal="center" vertical="center" wrapText="1"/>
    </xf>
    <xf numFmtId="3" fontId="3" fillId="6" borderId="0" xfId="0" applyNumberFormat="1" applyFont="1" applyFill="1" applyBorder="1" applyAlignment="1">
      <alignment horizontal="left" vertical="center" wrapText="1" indent="2"/>
    </xf>
    <xf numFmtId="3" fontId="0" fillId="0" borderId="0" xfId="0" applyNumberFormat="1" applyAlignment="1">
      <alignment horizontal="center" vertical="center" wrapText="1"/>
    </xf>
    <xf numFmtId="3" fontId="2" fillId="0" borderId="37" xfId="0" applyNumberFormat="1" applyFont="1" applyBorder="1" applyAlignment="1">
      <alignment horizontal="center" vertical="center" wrapText="1"/>
    </xf>
    <xf numFmtId="3" fontId="0" fillId="0" borderId="39" xfId="0" applyNumberFormat="1" applyBorder="1" applyAlignment="1">
      <alignment horizontal="center" vertical="center" wrapText="1"/>
    </xf>
    <xf numFmtId="3" fontId="0" fillId="0" borderId="41" xfId="0" applyNumberFormat="1" applyBorder="1" applyAlignment="1">
      <alignment horizontal="center" vertical="center" wrapText="1"/>
    </xf>
    <xf numFmtId="3" fontId="0" fillId="0" borderId="51" xfId="0" applyNumberFormat="1" applyBorder="1" applyAlignment="1">
      <alignment horizontal="center" vertical="center" wrapText="1"/>
    </xf>
    <xf numFmtId="3" fontId="8" fillId="0" borderId="47" xfId="0" applyNumberFormat="1" applyFont="1" applyBorder="1" applyAlignment="1">
      <alignment horizontal="left" vertical="center"/>
    </xf>
    <xf numFmtId="3" fontId="8" fillId="0" borderId="0" xfId="0" applyNumberFormat="1" applyFont="1" applyAlignment="1">
      <alignment horizontal="center" vertical="center" wrapText="1"/>
    </xf>
    <xf numFmtId="3" fontId="3" fillId="6" borderId="0" xfId="0" applyNumberFormat="1" applyFont="1" applyFill="1" applyAlignment="1">
      <alignment horizontal="left" vertical="center"/>
    </xf>
    <xf numFmtId="3" fontId="2" fillId="0" borderId="0" xfId="0" applyNumberFormat="1" applyFont="1" applyAlignment="1">
      <alignment horizontal="center" vertical="center" wrapText="1"/>
    </xf>
    <xf numFmtId="0" fontId="11" fillId="6" borderId="0" xfId="0" applyFont="1" applyFill="1"/>
    <xf numFmtId="0" fontId="15" fillId="6" borderId="48" xfId="0" applyFont="1" applyFill="1" applyBorder="1" applyAlignment="1">
      <alignment horizontal="center"/>
    </xf>
    <xf numFmtId="3" fontId="14" fillId="6" borderId="41" xfId="0" applyNumberFormat="1" applyFont="1" applyFill="1" applyBorder="1" applyAlignment="1">
      <alignment horizontal="center"/>
    </xf>
    <xf numFmtId="3" fontId="14" fillId="6" borderId="51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3" fontId="13" fillId="3" borderId="0" xfId="0" applyNumberFormat="1" applyFont="1" applyFill="1" applyAlignment="1">
      <alignment horizontal="center"/>
    </xf>
    <xf numFmtId="0" fontId="15" fillId="0" borderId="55" xfId="0" applyFont="1" applyBorder="1" applyAlignment="1">
      <alignment horizontal="center"/>
    </xf>
    <xf numFmtId="0" fontId="3" fillId="6" borderId="0" xfId="0" applyFont="1" applyFill="1"/>
    <xf numFmtId="3" fontId="3" fillId="6" borderId="0" xfId="0" applyNumberFormat="1" applyFont="1" applyFill="1"/>
    <xf numFmtId="0" fontId="3" fillId="6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17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3" fontId="0" fillId="2" borderId="1" xfId="0" applyNumberFormat="1" applyFill="1" applyBorder="1" applyAlignment="1">
      <alignment horizontal="left"/>
    </xf>
    <xf numFmtId="3" fontId="14" fillId="0" borderId="9" xfId="0" applyNumberFormat="1" applyFont="1" applyFill="1" applyBorder="1" applyAlignment="1">
      <alignment horizontal="center"/>
    </xf>
    <xf numFmtId="3" fontId="14" fillId="0" borderId="56" xfId="0" applyNumberFormat="1" applyFont="1" applyFill="1" applyBorder="1" applyAlignment="1">
      <alignment horizontal="center"/>
    </xf>
    <xf numFmtId="3" fontId="14" fillId="0" borderId="56" xfId="0" applyNumberFormat="1" applyFont="1" applyBorder="1" applyAlignment="1">
      <alignment horizontal="center"/>
    </xf>
    <xf numFmtId="3" fontId="14" fillId="0" borderId="58" xfId="0" applyNumberFormat="1" applyFont="1" applyBorder="1" applyAlignment="1">
      <alignment horizontal="center"/>
    </xf>
    <xf numFmtId="3" fontId="14" fillId="0" borderId="9" xfId="0" applyNumberFormat="1" applyFont="1" applyBorder="1" applyAlignment="1">
      <alignment horizontal="center"/>
    </xf>
    <xf numFmtId="3" fontId="14" fillId="0" borderId="58" xfId="0" applyNumberFormat="1" applyFont="1" applyFill="1" applyBorder="1" applyAlignment="1">
      <alignment horizontal="center"/>
    </xf>
    <xf numFmtId="3" fontId="15" fillId="0" borderId="59" xfId="0" applyNumberFormat="1" applyFont="1" applyBorder="1" applyAlignment="1">
      <alignment horizontal="center"/>
    </xf>
    <xf numFmtId="167" fontId="0" fillId="0" borderId="12" xfId="0" applyNumberFormat="1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3" fontId="14" fillId="0" borderId="59" xfId="0" applyNumberFormat="1" applyFont="1" applyFill="1" applyBorder="1" applyAlignment="1">
      <alignment horizontal="center"/>
    </xf>
    <xf numFmtId="3" fontId="16" fillId="0" borderId="0" xfId="0" applyNumberFormat="1" applyFont="1" applyAlignment="1">
      <alignment horizontal="center"/>
    </xf>
    <xf numFmtId="0" fontId="8" fillId="0" borderId="0" xfId="0" applyFont="1" applyFill="1" applyAlignment="1"/>
    <xf numFmtId="0" fontId="0" fillId="0" borderId="0" xfId="0" applyFill="1" applyAlignment="1"/>
    <xf numFmtId="164" fontId="0" fillId="0" borderId="0" xfId="2" applyNumberFormat="1" applyFont="1" applyFill="1" applyAlignment="1"/>
    <xf numFmtId="164" fontId="0" fillId="0" borderId="0" xfId="0" applyNumberFormat="1" applyFill="1" applyAlignment="1"/>
    <xf numFmtId="0" fontId="2" fillId="0" borderId="0" xfId="0" applyFont="1" applyFill="1" applyAlignment="1">
      <alignment horizontal="left" indent="5"/>
    </xf>
    <xf numFmtId="164" fontId="2" fillId="0" borderId="0" xfId="0" applyNumberFormat="1" applyFont="1" applyFill="1" applyAlignment="1"/>
    <xf numFmtId="0" fontId="0" fillId="0" borderId="0" xfId="0" applyFill="1" applyAlignment="1">
      <alignment horizontal="left"/>
    </xf>
    <xf numFmtId="2" fontId="0" fillId="0" borderId="0" xfId="0" applyNumberFormat="1" applyFill="1" applyAlignment="1"/>
    <xf numFmtId="4" fontId="3" fillId="0" borderId="0" xfId="0" applyNumberFormat="1" applyFont="1" applyFill="1" applyAlignment="1"/>
    <xf numFmtId="164" fontId="0" fillId="0" borderId="0" xfId="0" applyNumberFormat="1"/>
    <xf numFmtId="4" fontId="0" fillId="0" borderId="0" xfId="0" applyNumberFormat="1" applyAlignment="1">
      <alignment horizontal="center"/>
    </xf>
    <xf numFmtId="17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66" fontId="0" fillId="2" borderId="1" xfId="0" applyNumberFormat="1" applyFill="1" applyBorder="1" applyAlignment="1">
      <alignment horizontal="center"/>
    </xf>
    <xf numFmtId="3" fontId="19" fillId="0" borderId="0" xfId="0" applyNumberFormat="1" applyFont="1"/>
    <xf numFmtId="3" fontId="13" fillId="0" borderId="0" xfId="0" applyNumberFormat="1" applyFont="1" applyFill="1" applyAlignment="1">
      <alignment horizontal="center"/>
    </xf>
    <xf numFmtId="0" fontId="0" fillId="4" borderId="0" xfId="0" applyFill="1" applyAlignment="1">
      <alignment horizontal="left"/>
    </xf>
    <xf numFmtId="17" fontId="0" fillId="0" borderId="0" xfId="0" applyNumberFormat="1"/>
    <xf numFmtId="4" fontId="0" fillId="0" borderId="0" xfId="0" applyNumberFormat="1"/>
    <xf numFmtId="168" fontId="15" fillId="0" borderId="0" xfId="0" applyNumberFormat="1" applyFont="1" applyAlignment="1">
      <alignment horizontal="center"/>
    </xf>
    <xf numFmtId="3" fontId="15" fillId="0" borderId="0" xfId="0" applyNumberFormat="1" applyFont="1" applyAlignment="1">
      <alignment horizontal="center"/>
    </xf>
    <xf numFmtId="4" fontId="0" fillId="0" borderId="0" xfId="0" applyNumberFormat="1" applyFill="1"/>
    <xf numFmtId="4" fontId="2" fillId="0" borderId="46" xfId="0" applyNumberFormat="1" applyFont="1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8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/>
    <xf numFmtId="4" fontId="11" fillId="6" borderId="0" xfId="0" applyNumberFormat="1" applyFont="1" applyFill="1"/>
    <xf numFmtId="4" fontId="0" fillId="0" borderId="0" xfId="0" applyNumberFormat="1" applyFill="1" applyAlignment="1">
      <alignment horizontal="center"/>
    </xf>
    <xf numFmtId="4" fontId="2" fillId="0" borderId="34" xfId="0" applyNumberFormat="1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4" fontId="0" fillId="0" borderId="1" xfId="0" applyNumberFormat="1" applyFill="1" applyBorder="1"/>
    <xf numFmtId="0" fontId="13" fillId="0" borderId="0" xfId="0" applyFont="1" applyFill="1"/>
    <xf numFmtId="3" fontId="0" fillId="0" borderId="1" xfId="0" applyNumberFormat="1" applyFill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16" fillId="4" borderId="0" xfId="0" applyFont="1" applyFill="1"/>
    <xf numFmtId="3" fontId="16" fillId="4" borderId="0" xfId="0" applyNumberFormat="1" applyFont="1" applyFill="1" applyAlignment="1">
      <alignment horizontal="center"/>
    </xf>
    <xf numFmtId="0" fontId="13" fillId="4" borderId="0" xfId="0" applyFont="1" applyFill="1"/>
    <xf numFmtId="0" fontId="13" fillId="4" borderId="0" xfId="0" applyFont="1" applyFill="1" applyAlignment="1">
      <alignment horizontal="center"/>
    </xf>
    <xf numFmtId="17" fontId="15" fillId="0" borderId="60" xfId="0" applyNumberFormat="1" applyFont="1" applyBorder="1" applyAlignment="1">
      <alignment horizontal="center"/>
    </xf>
    <xf numFmtId="3" fontId="14" fillId="0" borderId="61" xfId="0" applyNumberFormat="1" applyFont="1" applyBorder="1" applyAlignment="1">
      <alignment horizontal="center"/>
    </xf>
    <xf numFmtId="3" fontId="14" fillId="0" borderId="61" xfId="0" applyNumberFormat="1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left"/>
    </xf>
    <xf numFmtId="0" fontId="14" fillId="4" borderId="0" xfId="0" applyFont="1" applyFill="1"/>
    <xf numFmtId="0" fontId="16" fillId="4" borderId="0" xfId="0" applyFont="1" applyFill="1" applyAlignment="1">
      <alignment horizontal="center"/>
    </xf>
    <xf numFmtId="3" fontId="14" fillId="0" borderId="0" xfId="0" applyNumberFormat="1" applyFont="1" applyFill="1"/>
    <xf numFmtId="0" fontId="15" fillId="0" borderId="62" xfId="0" applyFont="1" applyBorder="1" applyAlignment="1">
      <alignment horizontal="center"/>
    </xf>
    <xf numFmtId="3" fontId="14" fillId="0" borderId="40" xfId="0" applyNumberFormat="1" applyFont="1" applyFill="1" applyBorder="1" applyAlignment="1">
      <alignment horizontal="center"/>
    </xf>
    <xf numFmtId="3" fontId="14" fillId="0" borderId="40" xfId="0" applyNumberFormat="1" applyFont="1" applyBorder="1" applyAlignment="1">
      <alignment horizontal="center"/>
    </xf>
    <xf numFmtId="3" fontId="14" fillId="0" borderId="49" xfId="0" applyNumberFormat="1" applyFont="1" applyBorder="1" applyAlignment="1">
      <alignment horizontal="center"/>
    </xf>
    <xf numFmtId="4" fontId="3" fillId="0" borderId="0" xfId="0" applyNumberFormat="1" applyFont="1"/>
    <xf numFmtId="3" fontId="0" fillId="4" borderId="1" xfId="0" applyNumberFormat="1" applyFill="1" applyBorder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66" fontId="3" fillId="0" borderId="0" xfId="0" applyNumberFormat="1" applyFont="1" applyAlignment="1">
      <alignment horizontal="center"/>
    </xf>
    <xf numFmtId="0" fontId="20" fillId="0" borderId="0" xfId="0" applyFont="1"/>
    <xf numFmtId="0" fontId="21" fillId="0" borderId="0" xfId="0" applyFont="1"/>
    <xf numFmtId="4" fontId="8" fillId="0" borderId="0" xfId="0" applyNumberFormat="1" applyFont="1"/>
    <xf numFmtId="0" fontId="8" fillId="0" borderId="0" xfId="0" applyFont="1"/>
    <xf numFmtId="4" fontId="0" fillId="0" borderId="0" xfId="0" applyNumberFormat="1" applyFont="1"/>
    <xf numFmtId="0" fontId="0" fillId="0" borderId="0" xfId="0" applyFont="1"/>
    <xf numFmtId="4" fontId="8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0" fontId="8" fillId="8" borderId="0" xfId="0" applyFont="1" applyFill="1" applyAlignment="1">
      <alignment horizontal="left"/>
    </xf>
    <xf numFmtId="4" fontId="8" fillId="8" borderId="0" xfId="0" applyNumberFormat="1" applyFont="1" applyFill="1" applyAlignment="1">
      <alignment horizontal="right"/>
    </xf>
    <xf numFmtId="3" fontId="16" fillId="0" borderId="0" xfId="0" applyNumberFormat="1" applyFont="1" applyAlignment="1">
      <alignment horizontal="left"/>
    </xf>
    <xf numFmtId="0" fontId="20" fillId="8" borderId="0" xfId="0" applyFont="1" applyFill="1"/>
    <xf numFmtId="0" fontId="22" fillId="6" borderId="0" xfId="0" applyFont="1" applyFill="1"/>
    <xf numFmtId="4" fontId="21" fillId="6" borderId="0" xfId="0" applyNumberFormat="1" applyFont="1" applyFill="1" applyAlignment="1">
      <alignment horizontal="right"/>
    </xf>
    <xf numFmtId="0" fontId="21" fillId="9" borderId="0" xfId="0" applyFont="1" applyFill="1"/>
    <xf numFmtId="4" fontId="20" fillId="0" borderId="0" xfId="0" applyNumberFormat="1" applyFont="1" applyAlignment="1">
      <alignment horizontal="right"/>
    </xf>
    <xf numFmtId="4" fontId="21" fillId="9" borderId="0" xfId="0" applyNumberFormat="1" applyFont="1" applyFill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 applyAlignment="1"/>
    <xf numFmtId="0" fontId="0" fillId="0" borderId="0" xfId="0" applyAlignment="1"/>
    <xf numFmtId="4" fontId="3" fillId="0" borderId="0" xfId="0" applyNumberFormat="1" applyFont="1" applyAlignment="1">
      <alignment horizontal="left"/>
    </xf>
    <xf numFmtId="166" fontId="0" fillId="0" borderId="0" xfId="0" applyNumberFormat="1" applyFill="1" applyAlignment="1">
      <alignment horizontal="center"/>
    </xf>
    <xf numFmtId="4" fontId="3" fillId="4" borderId="0" xfId="0" applyNumberFormat="1" applyFont="1" applyFill="1"/>
    <xf numFmtId="4" fontId="14" fillId="0" borderId="0" xfId="0" applyNumberFormat="1" applyFont="1" applyAlignment="1">
      <alignment horizontal="center"/>
    </xf>
    <xf numFmtId="3" fontId="0" fillId="0" borderId="0" xfId="0" applyNumberFormat="1" applyFill="1" applyBorder="1" applyAlignment="1">
      <alignment horizontal="center"/>
    </xf>
    <xf numFmtId="166" fontId="0" fillId="0" borderId="0" xfId="0" quotePrefix="1" applyNumberFormat="1" applyAlignment="1">
      <alignment horizontal="left"/>
    </xf>
    <xf numFmtId="4" fontId="11" fillId="0" borderId="0" xfId="0" applyNumberFormat="1" applyFont="1" applyAlignment="1">
      <alignment horizontal="center"/>
    </xf>
    <xf numFmtId="0" fontId="11" fillId="0" borderId="0" xfId="0" applyFont="1"/>
    <xf numFmtId="3" fontId="13" fillId="0" borderId="0" xfId="0" applyNumberFormat="1" applyFont="1"/>
    <xf numFmtId="16" fontId="0" fillId="0" borderId="0" xfId="0" applyNumberFormat="1" applyAlignment="1">
      <alignment horizontal="center"/>
    </xf>
    <xf numFmtId="0" fontId="11" fillId="0" borderId="0" xfId="0" applyFont="1" applyAlignment="1">
      <alignment horizontal="center"/>
    </xf>
    <xf numFmtId="166" fontId="11" fillId="6" borderId="0" xfId="0" applyNumberFormat="1" applyFont="1" applyFill="1" applyAlignment="1">
      <alignment horizontal="center"/>
    </xf>
    <xf numFmtId="4" fontId="11" fillId="6" borderId="0" xfId="0" applyNumberFormat="1" applyFont="1" applyFill="1" applyAlignment="1">
      <alignment horizontal="center"/>
    </xf>
    <xf numFmtId="167" fontId="0" fillId="4" borderId="1" xfId="0" applyNumberFormat="1" applyFill="1" applyBorder="1" applyAlignment="1">
      <alignment horizontal="center"/>
    </xf>
    <xf numFmtId="4" fontId="0" fillId="4" borderId="1" xfId="0" applyNumberFormat="1" applyFill="1" applyBorder="1" applyAlignment="1">
      <alignment horizontal="left"/>
    </xf>
    <xf numFmtId="4" fontId="0" fillId="4" borderId="1" xfId="0" applyNumberFormat="1" applyFill="1" applyBorder="1" applyAlignment="1">
      <alignment horizontal="center"/>
    </xf>
    <xf numFmtId="0" fontId="20" fillId="4" borderId="0" xfId="0" applyFont="1" applyFill="1"/>
    <xf numFmtId="4" fontId="20" fillId="4" borderId="0" xfId="0" applyNumberFormat="1" applyFont="1" applyFill="1" applyAlignment="1">
      <alignment horizontal="right"/>
    </xf>
    <xf numFmtId="0" fontId="2" fillId="0" borderId="4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0" fillId="2" borderId="0" xfId="0" applyNumberFormat="1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Border="1"/>
    <xf numFmtId="0" fontId="2" fillId="2" borderId="2" xfId="0" applyFont="1" applyFill="1" applyBorder="1" applyAlignment="1">
      <alignment horizontal="center"/>
    </xf>
    <xf numFmtId="4" fontId="2" fillId="2" borderId="4" xfId="0" applyNumberFormat="1" applyFont="1" applyFill="1" applyBorder="1" applyAlignment="1">
      <alignment horizontal="center"/>
    </xf>
    <xf numFmtId="0" fontId="2" fillId="2" borderId="35" xfId="0" applyFont="1" applyFill="1" applyBorder="1" applyAlignment="1">
      <alignment horizontal="center"/>
    </xf>
    <xf numFmtId="17" fontId="0" fillId="2" borderId="38" xfId="0" applyNumberFormat="1" applyFont="1" applyFill="1" applyBorder="1" applyAlignment="1">
      <alignment horizontal="center" vertical="center"/>
    </xf>
    <xf numFmtId="3" fontId="0" fillId="2" borderId="12" xfId="0" applyNumberFormat="1" applyFont="1" applyFill="1" applyBorder="1" applyAlignment="1">
      <alignment horizontal="center" vertical="center"/>
    </xf>
    <xf numFmtId="0" fontId="0" fillId="2" borderId="39" xfId="0" applyFont="1" applyFill="1" applyBorder="1" applyAlignment="1">
      <alignment horizontal="center" vertical="center"/>
    </xf>
    <xf numFmtId="17" fontId="0" fillId="2" borderId="63" xfId="0" applyNumberFormat="1" applyFont="1" applyFill="1" applyBorder="1" applyAlignment="1">
      <alignment horizontal="center" vertical="center"/>
    </xf>
    <xf numFmtId="3" fontId="0" fillId="2" borderId="1" xfId="0" applyNumberFormat="1" applyFont="1" applyFill="1" applyBorder="1" applyAlignment="1">
      <alignment horizontal="center" vertical="center"/>
    </xf>
    <xf numFmtId="0" fontId="0" fillId="2" borderId="41" xfId="0" applyFont="1" applyFill="1" applyBorder="1" applyAlignment="1">
      <alignment horizontal="center" vertical="center"/>
    </xf>
    <xf numFmtId="17" fontId="0" fillId="2" borderId="64" xfId="0" applyNumberFormat="1" applyFont="1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17" fontId="0" fillId="2" borderId="63" xfId="0" quotePrefix="1" applyNumberFormat="1" applyFon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17" fontId="0" fillId="2" borderId="64" xfId="0" quotePrefix="1" applyNumberFormat="1" applyFont="1" applyFill="1" applyBorder="1" applyAlignment="1">
      <alignment horizontal="center" vertical="center"/>
    </xf>
    <xf numFmtId="17" fontId="0" fillId="2" borderId="38" xfId="0" quotePrefix="1" applyNumberFormat="1" applyFont="1" applyFill="1" applyBorder="1" applyAlignment="1">
      <alignment horizontal="center" vertical="center"/>
    </xf>
    <xf numFmtId="16" fontId="0" fillId="2" borderId="40" xfId="0" applyNumberForma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3" fontId="3" fillId="2" borderId="66" xfId="0" applyNumberFormat="1" applyFont="1" applyFill="1" applyBorder="1" applyAlignment="1">
      <alignment horizontal="center" vertical="center"/>
    </xf>
    <xf numFmtId="0" fontId="3" fillId="2" borderId="67" xfId="0" applyFont="1" applyFill="1" applyBorder="1" applyAlignment="1">
      <alignment horizontal="center" vertical="center"/>
    </xf>
    <xf numFmtId="0" fontId="8" fillId="0" borderId="0" xfId="0" applyFont="1" applyAlignment="1"/>
    <xf numFmtId="4" fontId="0" fillId="0" borderId="0" xfId="0" applyNumberFormat="1" applyAlignment="1"/>
    <xf numFmtId="0" fontId="0" fillId="4" borderId="0" xfId="0" applyFill="1" applyAlignment="1"/>
    <xf numFmtId="4" fontId="0" fillId="4" borderId="0" xfId="0" applyNumberFormat="1" applyFill="1" applyAlignment="1"/>
    <xf numFmtId="0" fontId="5" fillId="0" borderId="0" xfId="0" applyFont="1" applyAlignment="1"/>
    <xf numFmtId="0" fontId="2" fillId="5" borderId="0" xfId="0" applyFont="1" applyFill="1" applyAlignment="1"/>
    <xf numFmtId="4" fontId="2" fillId="5" borderId="0" xfId="0" applyNumberFormat="1" applyFont="1" applyFill="1" applyAlignment="1"/>
    <xf numFmtId="4" fontId="3" fillId="4" borderId="0" xfId="0" applyNumberFormat="1" applyFont="1" applyFill="1" applyAlignment="1"/>
    <xf numFmtId="4" fontId="0" fillId="2" borderId="1" xfId="0" applyNumberFormat="1" applyFont="1" applyFill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20" fillId="0" borderId="0" xfId="0" applyNumberFormat="1" applyFont="1" applyFill="1" applyAlignment="1">
      <alignment horizontal="left"/>
    </xf>
    <xf numFmtId="0" fontId="0" fillId="0" borderId="0" xfId="0" applyFont="1" applyFill="1"/>
    <xf numFmtId="0" fontId="0" fillId="0" borderId="1" xfId="0" applyFill="1" applyBorder="1" applyAlignment="1">
      <alignment horizontal="left"/>
    </xf>
    <xf numFmtId="166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166" fontId="0" fillId="11" borderId="1" xfId="0" applyNumberFormat="1" applyFont="1" applyFill="1" applyBorder="1" applyAlignment="1">
      <alignment horizontal="center"/>
    </xf>
    <xf numFmtId="0" fontId="0" fillId="11" borderId="1" xfId="0" applyFill="1" applyBorder="1" applyAlignment="1">
      <alignment horizontal="left"/>
    </xf>
    <xf numFmtId="4" fontId="0" fillId="11" borderId="1" xfId="0" applyNumberFormat="1" applyFill="1" applyBorder="1" applyAlignment="1">
      <alignment horizontal="center"/>
    </xf>
    <xf numFmtId="166" fontId="0" fillId="12" borderId="1" xfId="0" applyNumberFormat="1" applyFont="1" applyFill="1" applyBorder="1" applyAlignment="1">
      <alignment horizontal="center"/>
    </xf>
    <xf numFmtId="0" fontId="0" fillId="12" borderId="1" xfId="0" applyFill="1" applyBorder="1" applyAlignment="1">
      <alignment horizontal="left"/>
    </xf>
    <xf numFmtId="166" fontId="0" fillId="13" borderId="1" xfId="0" applyNumberFormat="1" applyFont="1" applyFill="1" applyBorder="1" applyAlignment="1">
      <alignment horizontal="center"/>
    </xf>
    <xf numFmtId="0" fontId="0" fillId="13" borderId="1" xfId="0" applyFill="1" applyBorder="1" applyAlignment="1">
      <alignment horizontal="left"/>
    </xf>
    <xf numFmtId="0" fontId="0" fillId="13" borderId="1" xfId="0" applyFont="1" applyFill="1" applyBorder="1" applyAlignment="1">
      <alignment horizontal="left"/>
    </xf>
    <xf numFmtId="166" fontId="0" fillId="14" borderId="1" xfId="0" quotePrefix="1" applyNumberFormat="1" applyFont="1" applyFill="1" applyBorder="1" applyAlignment="1">
      <alignment horizontal="center"/>
    </xf>
    <xf numFmtId="0" fontId="0" fillId="14" borderId="1" xfId="0" applyFont="1" applyFill="1" applyBorder="1" applyAlignment="1">
      <alignment horizontal="left"/>
    </xf>
    <xf numFmtId="166" fontId="0" fillId="14" borderId="1" xfId="0" applyNumberFormat="1" applyFont="1" applyFill="1" applyBorder="1" applyAlignment="1">
      <alignment horizontal="center"/>
    </xf>
    <xf numFmtId="0" fontId="0" fillId="14" borderId="1" xfId="0" applyFill="1" applyBorder="1" applyAlignment="1">
      <alignment horizontal="left"/>
    </xf>
    <xf numFmtId="4" fontId="0" fillId="14" borderId="1" xfId="0" applyNumberFormat="1" applyFill="1" applyBorder="1" applyAlignment="1">
      <alignment horizontal="center"/>
    </xf>
    <xf numFmtId="3" fontId="24" fillId="0" borderId="16" xfId="0" applyNumberFormat="1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center"/>
    </xf>
    <xf numFmtId="165" fontId="24" fillId="0" borderId="1" xfId="0" applyNumberFormat="1" applyFont="1" applyFill="1" applyBorder="1" applyAlignment="1">
      <alignment horizontal="center"/>
    </xf>
    <xf numFmtId="4" fontId="0" fillId="0" borderId="0" xfId="0" applyNumberFormat="1" applyFill="1" applyAlignment="1">
      <alignment horizontal="left"/>
    </xf>
    <xf numFmtId="166" fontId="0" fillId="0" borderId="12" xfId="0" applyNumberFormat="1" applyFont="1" applyFill="1" applyBorder="1" applyAlignment="1"/>
    <xf numFmtId="4" fontId="2" fillId="0" borderId="12" xfId="0" applyNumberFormat="1" applyFont="1" applyFill="1" applyBorder="1" applyAlignment="1"/>
    <xf numFmtId="0" fontId="2" fillId="0" borderId="12" xfId="0" applyFont="1" applyFill="1" applyBorder="1" applyAlignment="1"/>
    <xf numFmtId="166" fontId="0" fillId="0" borderId="1" xfId="0" applyNumberFormat="1" applyFont="1" applyFill="1" applyBorder="1" applyAlignment="1"/>
    <xf numFmtId="4" fontId="0" fillId="0" borderId="1" xfId="0" applyNumberFormat="1" applyFont="1" applyFill="1" applyBorder="1" applyAlignment="1"/>
    <xf numFmtId="3" fontId="0" fillId="0" borderId="1" xfId="0" applyNumberFormat="1" applyFont="1" applyFill="1" applyBorder="1" applyAlignment="1"/>
    <xf numFmtId="4" fontId="0" fillId="0" borderId="1" xfId="0" applyNumberFormat="1" applyFill="1" applyBorder="1" applyAlignment="1"/>
    <xf numFmtId="4" fontId="0" fillId="0" borderId="1" xfId="0" quotePrefix="1" applyNumberFormat="1" applyFont="1" applyFill="1" applyBorder="1" applyAlignment="1"/>
    <xf numFmtId="0" fontId="0" fillId="0" borderId="1" xfId="0" applyFill="1" applyBorder="1" applyAlignment="1"/>
    <xf numFmtId="166" fontId="0" fillId="0" borderId="1" xfId="0" applyNumberFormat="1" applyFill="1" applyBorder="1" applyAlignment="1"/>
    <xf numFmtId="3" fontId="0" fillId="0" borderId="0" xfId="0" applyNumberFormat="1" applyFill="1" applyAlignment="1">
      <alignment horizontal="left"/>
    </xf>
    <xf numFmtId="4" fontId="0" fillId="13" borderId="1" xfId="0" applyNumberFormat="1" applyFill="1" applyBorder="1" applyAlignment="1">
      <alignment horizontal="center"/>
    </xf>
    <xf numFmtId="4" fontId="0" fillId="12" borderId="1" xfId="0" applyNumberFormat="1" applyFill="1" applyBorder="1" applyAlignment="1">
      <alignment horizontal="center"/>
    </xf>
    <xf numFmtId="166" fontId="1" fillId="13" borderId="1" xfId="0" applyNumberFormat="1" applyFont="1" applyFill="1" applyBorder="1" applyAlignment="1">
      <alignment horizontal="center"/>
    </xf>
    <xf numFmtId="0" fontId="1" fillId="13" borderId="1" xfId="0" applyFont="1" applyFill="1" applyBorder="1" applyAlignment="1">
      <alignment horizontal="left"/>
    </xf>
    <xf numFmtId="166" fontId="24" fillId="13" borderId="1" xfId="0" applyNumberFormat="1" applyFont="1" applyFill="1" applyBorder="1" applyAlignment="1">
      <alignment horizontal="center"/>
    </xf>
    <xf numFmtId="0" fontId="24" fillId="13" borderId="1" xfId="0" applyFont="1" applyFill="1" applyBorder="1" applyAlignment="1">
      <alignment horizontal="left"/>
    </xf>
    <xf numFmtId="166" fontId="0" fillId="11" borderId="1" xfId="0" applyNumberFormat="1" applyFill="1" applyBorder="1" applyAlignment="1">
      <alignment horizontal="center"/>
    </xf>
    <xf numFmtId="166" fontId="0" fillId="15" borderId="1" xfId="0" applyNumberFormat="1" applyFont="1" applyFill="1" applyBorder="1" applyAlignment="1">
      <alignment horizontal="center"/>
    </xf>
    <xf numFmtId="0" fontId="0" fillId="15" borderId="1" xfId="0" applyFill="1" applyBorder="1" applyAlignment="1">
      <alignment horizontal="left"/>
    </xf>
    <xf numFmtId="166" fontId="0" fillId="15" borderId="1" xfId="0" applyNumberFormat="1" applyFill="1" applyBorder="1" applyAlignment="1">
      <alignment horizontal="center"/>
    </xf>
    <xf numFmtId="4" fontId="0" fillId="15" borderId="1" xfId="0" applyNumberFormat="1" applyFill="1" applyBorder="1" applyAlignment="1">
      <alignment horizontal="center"/>
    </xf>
    <xf numFmtId="166" fontId="0" fillId="15" borderId="1" xfId="0" quotePrefix="1" applyNumberFormat="1" applyFont="1" applyFill="1" applyBorder="1" applyAlignment="1">
      <alignment horizontal="center"/>
    </xf>
    <xf numFmtId="0" fontId="0" fillId="15" borderId="1" xfId="0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166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66" fontId="0" fillId="13" borderId="1" xfId="0" applyNumberForma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166" fontId="0" fillId="13" borderId="12" xfId="0" applyNumberFormat="1" applyFont="1" applyFill="1" applyBorder="1" applyAlignment="1">
      <alignment horizontal="center"/>
    </xf>
    <xf numFmtId="0" fontId="0" fillId="13" borderId="12" xfId="0" applyFont="1" applyFill="1" applyBorder="1" applyAlignment="1">
      <alignment horizontal="left"/>
    </xf>
    <xf numFmtId="166" fontId="2" fillId="0" borderId="42" xfId="0" applyNumberFormat="1" applyFont="1" applyFill="1" applyBorder="1" applyAlignment="1">
      <alignment horizontal="center"/>
    </xf>
    <xf numFmtId="0" fontId="2" fillId="0" borderId="44" xfId="0" applyFont="1" applyFill="1" applyBorder="1" applyAlignment="1">
      <alignment horizontal="left"/>
    </xf>
    <xf numFmtId="4" fontId="2" fillId="0" borderId="43" xfId="0" applyNumberFormat="1" applyFont="1" applyFill="1" applyBorder="1" applyAlignment="1">
      <alignment horizontal="center"/>
    </xf>
    <xf numFmtId="4" fontId="0" fillId="13" borderId="12" xfId="0" applyNumberFormat="1" applyFont="1" applyFill="1" applyBorder="1" applyAlignment="1">
      <alignment horizontal="center"/>
    </xf>
    <xf numFmtId="4" fontId="0" fillId="13" borderId="1" xfId="0" applyNumberFormat="1" applyFont="1" applyFill="1" applyBorder="1" applyAlignment="1">
      <alignment horizontal="center"/>
    </xf>
    <xf numFmtId="4" fontId="1" fillId="13" borderId="1" xfId="0" applyNumberFormat="1" applyFont="1" applyFill="1" applyBorder="1" applyAlignment="1">
      <alignment horizontal="center"/>
    </xf>
    <xf numFmtId="4" fontId="0" fillId="14" borderId="1" xfId="0" applyNumberFormat="1" applyFont="1" applyFill="1" applyBorder="1" applyAlignment="1">
      <alignment horizontal="center"/>
    </xf>
    <xf numFmtId="4" fontId="0" fillId="15" borderId="1" xfId="0" applyNumberFormat="1" applyFont="1" applyFill="1" applyBorder="1" applyAlignment="1">
      <alignment horizontal="center"/>
    </xf>
    <xf numFmtId="4" fontId="0" fillId="11" borderId="1" xfId="0" applyNumberFormat="1" applyFont="1" applyFill="1" applyBorder="1" applyAlignment="1">
      <alignment horizontal="center"/>
    </xf>
    <xf numFmtId="4" fontId="24" fillId="13" borderId="1" xfId="0" applyNumberFormat="1" applyFont="1" applyFill="1" applyBorder="1" applyAlignment="1">
      <alignment horizontal="center"/>
    </xf>
    <xf numFmtId="4" fontId="0" fillId="12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" fontId="8" fillId="0" borderId="0" xfId="0" applyNumberFormat="1" applyFont="1" applyAlignment="1">
      <alignment horizontal="left"/>
    </xf>
    <xf numFmtId="0" fontId="25" fillId="7" borderId="0" xfId="0" applyFont="1" applyFill="1"/>
    <xf numFmtId="4" fontId="21" fillId="7" borderId="0" xfId="0" applyNumberFormat="1" applyFont="1" applyFill="1" applyAlignment="1">
      <alignment horizontal="right"/>
    </xf>
    <xf numFmtId="4" fontId="21" fillId="0" borderId="0" xfId="0" applyNumberFormat="1" applyFont="1" applyAlignment="1">
      <alignment horizontal="right"/>
    </xf>
    <xf numFmtId="165" fontId="0" fillId="0" borderId="39" xfId="0" applyNumberFormat="1" applyFill="1" applyBorder="1" applyAlignment="1">
      <alignment horizontal="center"/>
    </xf>
    <xf numFmtId="165" fontId="0" fillId="0" borderId="41" xfId="0" applyNumberFormat="1" applyFill="1" applyBorder="1" applyAlignment="1">
      <alignment horizontal="center"/>
    </xf>
    <xf numFmtId="165" fontId="0" fillId="0" borderId="69" xfId="0" applyNumberFormat="1" applyFill="1" applyBorder="1" applyAlignment="1">
      <alignment horizontal="center"/>
    </xf>
    <xf numFmtId="165" fontId="8" fillId="0" borderId="70" xfId="0" applyNumberFormat="1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26" fillId="0" borderId="68" xfId="3" applyFont="1" applyFill="1" applyAlignment="1">
      <alignment horizontal="center" vertical="center" wrapText="1"/>
    </xf>
    <xf numFmtId="169" fontId="26" fillId="0" borderId="68" xfId="3" applyNumberFormat="1" applyFont="1" applyFill="1" applyAlignment="1">
      <alignment horizontal="center"/>
    </xf>
    <xf numFmtId="164" fontId="26" fillId="0" borderId="68" xfId="2" applyFont="1" applyFill="1" applyBorder="1" applyAlignment="1">
      <alignment horizontal="center"/>
    </xf>
    <xf numFmtId="0" fontId="26" fillId="0" borderId="68" xfId="3" applyFont="1" applyFill="1" applyAlignment="1">
      <alignment horizontal="center"/>
    </xf>
    <xf numFmtId="169" fontId="26" fillId="0" borderId="68" xfId="3" applyNumberFormat="1" applyFont="1" applyFill="1" applyAlignment="1">
      <alignment horizontal="center" vertical="center"/>
    </xf>
    <xf numFmtId="164" fontId="26" fillId="0" borderId="68" xfId="2" applyFont="1" applyFill="1" applyBorder="1" applyAlignment="1">
      <alignment horizontal="center" vertical="center"/>
    </xf>
    <xf numFmtId="0" fontId="26" fillId="0" borderId="68" xfId="3" applyFont="1" applyFill="1" applyAlignment="1">
      <alignment horizontal="center" vertical="center"/>
    </xf>
    <xf numFmtId="0" fontId="26" fillId="4" borderId="68" xfId="3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4" fontId="26" fillId="0" borderId="68" xfId="3" applyNumberFormat="1" applyFont="1" applyFill="1" applyAlignment="1">
      <alignment horizontal="center"/>
    </xf>
    <xf numFmtId="169" fontId="26" fillId="0" borderId="0" xfId="3" applyNumberFormat="1" applyFont="1" applyFill="1" applyBorder="1" applyAlignment="1">
      <alignment horizontal="center"/>
    </xf>
    <xf numFmtId="164" fontId="26" fillId="0" borderId="0" xfId="2" applyFont="1" applyFill="1" applyBorder="1" applyAlignment="1">
      <alignment horizontal="center"/>
    </xf>
    <xf numFmtId="0" fontId="26" fillId="0" borderId="0" xfId="3" applyFont="1" applyFill="1" applyBorder="1" applyAlignment="1">
      <alignment horizontal="center"/>
    </xf>
    <xf numFmtId="169" fontId="27" fillId="10" borderId="68" xfId="3" applyNumberFormat="1" applyFont="1" applyAlignment="1">
      <alignment horizontal="center"/>
    </xf>
    <xf numFmtId="164" fontId="27" fillId="10" borderId="68" xfId="3" applyNumberFormat="1" applyFont="1" applyAlignment="1">
      <alignment horizontal="center"/>
    </xf>
    <xf numFmtId="0" fontId="27" fillId="10" borderId="68" xfId="3" applyFont="1" applyAlignment="1">
      <alignment horizontal="center"/>
    </xf>
    <xf numFmtId="0" fontId="20" fillId="0" borderId="0" xfId="0" applyFont="1" applyBorder="1"/>
    <xf numFmtId="0" fontId="28" fillId="0" borderId="0" xfId="0" applyFont="1"/>
    <xf numFmtId="164" fontId="0" fillId="0" borderId="0" xfId="2" applyFont="1"/>
    <xf numFmtId="0" fontId="2" fillId="0" borderId="2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56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6" fillId="0" borderId="68" xfId="3" applyFont="1" applyFill="1" applyAlignment="1">
      <alignment horizontal="center" vertical="center" wrapText="1"/>
    </xf>
    <xf numFmtId="164" fontId="26" fillId="0" borderId="68" xfId="2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3" fontId="8" fillId="0" borderId="29" xfId="0" applyNumberFormat="1" applyFont="1" applyFill="1" applyBorder="1" applyAlignment="1">
      <alignment horizontal="center"/>
    </xf>
    <xf numFmtId="3" fontId="8" fillId="0" borderId="31" xfId="0" applyNumberFormat="1" applyFont="1" applyFill="1" applyBorder="1" applyAlignment="1">
      <alignment horizontal="center"/>
    </xf>
    <xf numFmtId="3" fontId="8" fillId="0" borderId="3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3" fontId="8" fillId="0" borderId="52" xfId="0" applyNumberFormat="1" applyFont="1" applyBorder="1" applyAlignment="1">
      <alignment horizontal="center" vertical="center" wrapText="1"/>
    </xf>
    <xf numFmtId="3" fontId="8" fillId="0" borderId="53" xfId="0" applyNumberFormat="1" applyFont="1" applyBorder="1" applyAlignment="1">
      <alignment horizontal="center" vertical="center" wrapText="1"/>
    </xf>
    <xf numFmtId="3" fontId="8" fillId="0" borderId="54" xfId="0" applyNumberFormat="1" applyFont="1" applyBorder="1" applyAlignment="1">
      <alignment horizontal="center" vertical="center" wrapText="1"/>
    </xf>
  </cellXfs>
  <cellStyles count="4">
    <cellStyle name="Check Cell" xfId="3" builtinId="23"/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4" Type="http://schemas.openxmlformats.org/officeDocument/2006/relationships/image" Target="../media/image4.png"/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18</xdr:col>
      <xdr:colOff>186859</xdr:colOff>
      <xdr:row>39</xdr:row>
      <xdr:rowOff>10604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05225" y="0"/>
          <a:ext cx="6020641" cy="7725854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0</xdr:row>
      <xdr:rowOff>0</xdr:rowOff>
    </xdr:from>
    <xdr:to>
      <xdr:col>28</xdr:col>
      <xdr:colOff>91594</xdr:colOff>
      <xdr:row>38</xdr:row>
      <xdr:rowOff>153472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01225" y="0"/>
          <a:ext cx="5925377" cy="7678222"/>
        </a:xfrm>
        <a:prstGeom prst="rect">
          <a:avLst/>
        </a:prstGeom>
      </xdr:spPr>
    </xdr:pic>
    <xdr:clientData/>
  </xdr:twoCellAnchor>
  <xdr:twoCellAnchor editAs="oneCell">
    <xdr:from>
      <xdr:col>29</xdr:col>
      <xdr:colOff>0</xdr:colOff>
      <xdr:row>0</xdr:row>
      <xdr:rowOff>0</xdr:rowOff>
    </xdr:from>
    <xdr:to>
      <xdr:col>37</xdr:col>
      <xdr:colOff>834516</xdr:colOff>
      <xdr:row>38</xdr:row>
      <xdr:rowOff>1051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897225" y="0"/>
          <a:ext cx="5715798" cy="7525801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48</xdr:col>
      <xdr:colOff>251842</xdr:colOff>
      <xdr:row>38</xdr:row>
      <xdr:rowOff>159075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851471" y="0"/>
          <a:ext cx="5944430" cy="76782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mailto:Dre@mers" TargetMode="External"/><Relationship Id="rId2" Type="http://schemas.openxmlformats.org/officeDocument/2006/relationships/hyperlink" Target="mailto:Dre@mers" TargetMode="External"/><Relationship Id="rId3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vmlDrawing" Target="../drawings/vmlDrawing2.vml"/><Relationship Id="rId3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4" Type="http://schemas.openxmlformats.org/officeDocument/2006/relationships/comments" Target="../comments3.xml"/><Relationship Id="rId1" Type="http://schemas.openxmlformats.org/officeDocument/2006/relationships/printerSettings" Target="../printerSettings/printerSettings3.bin"/><Relationship Id="rId2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2" Type="http://schemas.openxmlformats.org/officeDocument/2006/relationships/vmlDrawing" Target="../drawings/vmlDrawing4.vml"/><Relationship Id="rId3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29"/>
  <sheetViews>
    <sheetView showGridLines="0" tabSelected="1" workbookViewId="0">
      <selection activeCell="G30" sqref="G30"/>
    </sheetView>
  </sheetViews>
  <sheetFormatPr baseColWidth="10" defaultColWidth="8.83203125" defaultRowHeight="16" x14ac:dyDescent="0.2"/>
  <cols>
    <col min="1" max="1" width="3.5" customWidth="1"/>
    <col min="2" max="2" width="43.83203125" style="245" bestFit="1" customWidth="1"/>
    <col min="3" max="3" width="15.1640625" style="255" bestFit="1" customWidth="1"/>
    <col min="4" max="4" width="1.83203125" style="244" customWidth="1"/>
    <col min="5" max="5" width="12.1640625" style="384" customWidth="1"/>
    <col min="6" max="6" width="10.1640625" style="245" bestFit="1" customWidth="1"/>
    <col min="7" max="7" width="11.6640625" style="245" bestFit="1" customWidth="1"/>
  </cols>
  <sheetData>
    <row r="1" spans="2:7" s="3" customFormat="1" ht="19" x14ac:dyDescent="0.25">
      <c r="B1" s="3" t="s">
        <v>321</v>
      </c>
      <c r="C1" s="246"/>
      <c r="D1" s="234"/>
      <c r="E1" s="257"/>
    </row>
    <row r="2" spans="2:7" ht="5.25" customHeight="1" x14ac:dyDescent="0.2"/>
    <row r="3" spans="2:7" x14ac:dyDescent="0.2">
      <c r="B3" s="243" t="s">
        <v>70</v>
      </c>
    </row>
    <row r="4" spans="2:7" x14ac:dyDescent="0.2">
      <c r="B4" s="245" t="s">
        <v>206</v>
      </c>
      <c r="C4" s="255">
        <f>'Summary breakdown'!$M$13</f>
        <v>3606256</v>
      </c>
      <c r="E4" s="383">
        <f>C4+C13+C17-4810</f>
        <v>3700000.3200000003</v>
      </c>
      <c r="F4" s="244" t="s">
        <v>319</v>
      </c>
      <c r="G4" s="244"/>
    </row>
    <row r="5" spans="2:7" x14ac:dyDescent="0.2">
      <c r="B5" t="s">
        <v>284</v>
      </c>
      <c r="C5" s="255">
        <f>'SPA Income'!B26</f>
        <v>231718</v>
      </c>
    </row>
    <row r="6" spans="2:7" s="243" customFormat="1" x14ac:dyDescent="0.2">
      <c r="B6" s="241" t="s">
        <v>36</v>
      </c>
      <c r="C6" s="389">
        <f>SUM(C4:C5)</f>
        <v>3837974</v>
      </c>
      <c r="D6" s="242"/>
      <c r="E6" s="385"/>
    </row>
    <row r="8" spans="2:7" x14ac:dyDescent="0.2">
      <c r="B8" s="243" t="s">
        <v>71</v>
      </c>
    </row>
    <row r="9" spans="2:7" x14ac:dyDescent="0.2">
      <c r="B9" s="245" t="s">
        <v>87</v>
      </c>
      <c r="C9" s="255">
        <f>'Summary breakdown'!M17</f>
        <v>1086488.48</v>
      </c>
    </row>
    <row r="10" spans="2:7" x14ac:dyDescent="0.2">
      <c r="B10" s="245" t="s">
        <v>72</v>
      </c>
      <c r="C10" s="255">
        <f>'Summary breakdown'!M18</f>
        <v>345000</v>
      </c>
    </row>
    <row r="11" spans="2:7" x14ac:dyDescent="0.2">
      <c r="B11" s="245" t="s">
        <v>27</v>
      </c>
      <c r="C11" s="255">
        <f>'Summary breakdown'!M19</f>
        <v>1628930</v>
      </c>
      <c r="E11" s="384" t="s">
        <v>220</v>
      </c>
    </row>
    <row r="12" spans="2:7" x14ac:dyDescent="0.2">
      <c r="B12" s="245" t="s">
        <v>42</v>
      </c>
      <c r="C12" s="255">
        <f>'Summary breakdown'!M20</f>
        <v>459993.95</v>
      </c>
    </row>
    <row r="13" spans="2:7" x14ac:dyDescent="0.2">
      <c r="B13" s="245" t="s">
        <v>211</v>
      </c>
      <c r="C13" s="255">
        <f>'Summary breakdown'!M35</f>
        <v>98184.812099999996</v>
      </c>
    </row>
    <row r="14" spans="2:7" s="243" customFormat="1" x14ac:dyDescent="0.2">
      <c r="B14" s="241" t="s">
        <v>36</v>
      </c>
      <c r="C14" s="389">
        <f>SUM(C9:C13)</f>
        <v>3618597.2421000004</v>
      </c>
      <c r="D14" s="242"/>
      <c r="E14" s="386"/>
    </row>
    <row r="16" spans="2:7" s="3" customFormat="1" ht="19" x14ac:dyDescent="0.25">
      <c r="B16" s="248" t="s">
        <v>212</v>
      </c>
      <c r="C16" s="249">
        <f>C6-C14</f>
        <v>219376.75789999962</v>
      </c>
      <c r="D16" s="234"/>
      <c r="E16" s="261"/>
    </row>
    <row r="17" spans="2:7" x14ac:dyDescent="0.2">
      <c r="B17" s="251" t="s">
        <v>237</v>
      </c>
      <c r="C17" s="249">
        <f>'Summary breakdown'!$S$12</f>
        <v>369.50790000023744</v>
      </c>
      <c r="E17" s="383"/>
    </row>
    <row r="18" spans="2:7" ht="6" customHeight="1" x14ac:dyDescent="0.2"/>
    <row r="19" spans="2:7" x14ac:dyDescent="0.2">
      <c r="B19" s="252" t="s">
        <v>222</v>
      </c>
      <c r="C19" s="253">
        <f>C17+C16</f>
        <v>219746.26579999985</v>
      </c>
    </row>
    <row r="21" spans="2:7" x14ac:dyDescent="0.2">
      <c r="B21" s="243" t="s">
        <v>221</v>
      </c>
      <c r="C21" s="247"/>
    </row>
    <row r="22" spans="2:7" x14ac:dyDescent="0.2">
      <c r="B22" s="240" t="s">
        <v>236</v>
      </c>
      <c r="C22" s="255">
        <v>500000</v>
      </c>
    </row>
    <row r="23" spans="2:7" x14ac:dyDescent="0.2">
      <c r="B23" s="240" t="s">
        <v>155</v>
      </c>
      <c r="C23" s="255">
        <v>50000</v>
      </c>
    </row>
    <row r="24" spans="2:7" x14ac:dyDescent="0.2">
      <c r="B24" s="277" t="s">
        <v>254</v>
      </c>
      <c r="C24" s="278">
        <v>76742.399999999994</v>
      </c>
      <c r="E24" s="313" t="s">
        <v>285</v>
      </c>
      <c r="F24" s="314"/>
      <c r="G24" s="314"/>
    </row>
    <row r="25" spans="2:7" x14ac:dyDescent="0.2">
      <c r="B25" s="277" t="s">
        <v>255</v>
      </c>
      <c r="C25" s="278">
        <v>14482.56</v>
      </c>
    </row>
    <row r="26" spans="2:7" x14ac:dyDescent="0.2">
      <c r="B26" s="277" t="s">
        <v>256</v>
      </c>
      <c r="C26" s="278">
        <v>50000</v>
      </c>
    </row>
    <row r="27" spans="2:7" x14ac:dyDescent="0.2">
      <c r="B27" s="254" t="s">
        <v>223</v>
      </c>
      <c r="C27" s="256">
        <f>SUM(C22:C26)</f>
        <v>691224.96000000008</v>
      </c>
    </row>
    <row r="29" spans="2:7" ht="19" x14ac:dyDescent="0.25">
      <c r="B29" s="387" t="s">
        <v>11</v>
      </c>
      <c r="C29" s="388">
        <f>C19-C27</f>
        <v>-471478.69420000026</v>
      </c>
    </row>
  </sheetData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S23"/>
  <sheetViews>
    <sheetView showGridLines="0" workbookViewId="0">
      <pane xSplit="2" ySplit="3" topLeftCell="C4" activePane="bottomRight" state="frozen"/>
      <selection activeCell="D23" sqref="D23"/>
      <selection pane="topRight" activeCell="D23" sqref="D23"/>
      <selection pane="bottomLeft" activeCell="D23" sqref="D23"/>
      <selection pane="bottomRight" activeCell="S41" sqref="S41"/>
    </sheetView>
  </sheetViews>
  <sheetFormatPr baseColWidth="10" defaultColWidth="8.83203125" defaultRowHeight="15" x14ac:dyDescent="0.2"/>
  <cols>
    <col min="1" max="1" width="1.5" style="30" customWidth="1"/>
    <col min="2" max="2" width="20.33203125" style="30" bestFit="1" customWidth="1"/>
    <col min="3" max="3" width="8" style="30" bestFit="1" customWidth="1"/>
    <col min="4" max="5" width="10.1640625" style="30" bestFit="1" customWidth="1"/>
    <col min="6" max="6" width="9.83203125" style="30" bestFit="1" customWidth="1"/>
    <col min="7" max="7" width="8.5" style="30" bestFit="1" customWidth="1"/>
    <col min="8" max="8" width="8.6640625" style="30" bestFit="1" customWidth="1"/>
    <col min="9" max="9" width="7.5" style="30" bestFit="1" customWidth="1"/>
    <col min="10" max="10" width="8.6640625" style="30" bestFit="1" customWidth="1"/>
    <col min="11" max="11" width="8.5" style="30" bestFit="1" customWidth="1"/>
    <col min="12" max="12" width="8.6640625" style="30" bestFit="1" customWidth="1"/>
    <col min="13" max="18" width="8.6640625" style="30" customWidth="1"/>
    <col min="19" max="19" width="10.1640625" style="30" bestFit="1" customWidth="1"/>
    <col min="20" max="16384" width="8.83203125" style="30"/>
  </cols>
  <sheetData>
    <row r="2" spans="2:19" ht="20" thickBot="1" x14ac:dyDescent="0.3">
      <c r="B2" s="29" t="s">
        <v>189</v>
      </c>
    </row>
    <row r="3" spans="2:19" ht="16" thickBot="1" x14ac:dyDescent="0.25">
      <c r="B3" s="81" t="s">
        <v>17</v>
      </c>
      <c r="C3" s="82" t="s">
        <v>18</v>
      </c>
      <c r="D3" s="279" t="s">
        <v>19</v>
      </c>
      <c r="E3" s="423" t="s">
        <v>20</v>
      </c>
      <c r="F3" s="423"/>
      <c r="G3" s="423" t="s">
        <v>21</v>
      </c>
      <c r="H3" s="423"/>
      <c r="I3" s="423" t="s">
        <v>22</v>
      </c>
      <c r="J3" s="423"/>
      <c r="K3" s="423" t="s">
        <v>23</v>
      </c>
      <c r="L3" s="423"/>
      <c r="M3" s="423" t="s">
        <v>24</v>
      </c>
      <c r="N3" s="423"/>
      <c r="O3" s="423" t="s">
        <v>25</v>
      </c>
      <c r="P3" s="425"/>
      <c r="Q3" s="423" t="s">
        <v>37</v>
      </c>
      <c r="R3" s="425"/>
      <c r="S3" s="83" t="s">
        <v>26</v>
      </c>
    </row>
    <row r="4" spans="2:19" ht="16" thickTop="1" x14ac:dyDescent="0.2">
      <c r="B4" s="84" t="s">
        <v>5</v>
      </c>
      <c r="C4" s="85">
        <v>0.18</v>
      </c>
      <c r="D4" s="86">
        <f t="shared" ref="D4:D10" si="0">C4*3500000</f>
        <v>630000</v>
      </c>
      <c r="E4" s="87">
        <v>150000</v>
      </c>
      <c r="F4" s="88">
        <v>42078</v>
      </c>
      <c r="G4" s="87">
        <v>100000</v>
      </c>
      <c r="H4" s="88">
        <v>42103</v>
      </c>
      <c r="I4" s="89">
        <v>143000</v>
      </c>
      <c r="J4" s="90">
        <v>42107</v>
      </c>
      <c r="K4" s="87">
        <v>237000</v>
      </c>
      <c r="L4" s="88">
        <v>42234</v>
      </c>
      <c r="M4" s="87"/>
      <c r="N4" s="88"/>
      <c r="O4" s="87"/>
      <c r="P4" s="91"/>
      <c r="Q4" s="87"/>
      <c r="R4" s="91"/>
      <c r="S4" s="92">
        <f>E4+G4+I4+K4+M4+O4</f>
        <v>630000</v>
      </c>
    </row>
    <row r="5" spans="2:19" x14ac:dyDescent="0.2">
      <c r="B5" s="93" t="s">
        <v>16</v>
      </c>
      <c r="C5" s="94">
        <v>0.17</v>
      </c>
      <c r="D5" s="86">
        <f t="shared" si="0"/>
        <v>595000</v>
      </c>
      <c r="E5" s="95">
        <v>150000</v>
      </c>
      <c r="F5" s="96">
        <v>42089</v>
      </c>
      <c r="G5" s="95">
        <v>50000</v>
      </c>
      <c r="H5" s="96">
        <v>42102</v>
      </c>
      <c r="I5" s="4">
        <v>1000</v>
      </c>
      <c r="J5" s="5">
        <v>42104</v>
      </c>
      <c r="K5" s="4">
        <v>149000</v>
      </c>
      <c r="L5" s="5">
        <v>42107</v>
      </c>
      <c r="M5" s="332">
        <v>243500</v>
      </c>
      <c r="N5" s="333">
        <v>42229</v>
      </c>
      <c r="O5" s="4"/>
      <c r="P5" s="97"/>
      <c r="Q5" s="4"/>
      <c r="R5" s="97"/>
      <c r="S5" s="92">
        <f>E5+G5+I5+K5+M5+O5</f>
        <v>593500</v>
      </c>
    </row>
    <row r="6" spans="2:19" x14ac:dyDescent="0.2">
      <c r="B6" s="93" t="s">
        <v>4</v>
      </c>
      <c r="C6" s="94">
        <v>0.14000000000000001</v>
      </c>
      <c r="D6" s="86">
        <f t="shared" si="0"/>
        <v>490000.00000000006</v>
      </c>
      <c r="E6" s="95">
        <v>140000</v>
      </c>
      <c r="F6" s="96">
        <v>42076</v>
      </c>
      <c r="G6" s="95">
        <v>50000</v>
      </c>
      <c r="H6" s="96">
        <v>42100</v>
      </c>
      <c r="I6" s="95">
        <v>50000</v>
      </c>
      <c r="J6" s="96">
        <v>42101</v>
      </c>
      <c r="K6" s="95">
        <v>40000</v>
      </c>
      <c r="L6" s="96">
        <v>42102</v>
      </c>
      <c r="M6" s="95">
        <v>35000</v>
      </c>
      <c r="N6" s="96">
        <v>42123</v>
      </c>
      <c r="O6" s="95">
        <v>50000</v>
      </c>
      <c r="P6" s="98">
        <v>42124</v>
      </c>
      <c r="Q6" s="332">
        <v>99750</v>
      </c>
      <c r="R6" s="334">
        <v>42226</v>
      </c>
      <c r="S6" s="92">
        <f>E6+G6+I6+K6+M6+O6+Q6</f>
        <v>464750</v>
      </c>
    </row>
    <row r="7" spans="2:19" x14ac:dyDescent="0.2">
      <c r="B7" s="93" t="s">
        <v>8</v>
      </c>
      <c r="C7" s="94">
        <v>0.14000000000000001</v>
      </c>
      <c r="D7" s="86">
        <f t="shared" si="0"/>
        <v>490000.00000000006</v>
      </c>
      <c r="E7" s="95">
        <v>140000</v>
      </c>
      <c r="F7" s="96">
        <v>42080</v>
      </c>
      <c r="G7" s="4">
        <v>100000</v>
      </c>
      <c r="H7" s="5">
        <v>42104</v>
      </c>
      <c r="I7" s="95">
        <v>100000</v>
      </c>
      <c r="J7" s="96">
        <v>42206</v>
      </c>
      <c r="K7" s="95">
        <v>100000</v>
      </c>
      <c r="L7" s="96">
        <v>42279</v>
      </c>
      <c r="M7" s="95">
        <v>30000</v>
      </c>
      <c r="N7" s="96">
        <v>42306</v>
      </c>
      <c r="O7" s="95">
        <v>15011</v>
      </c>
      <c r="P7" s="98">
        <v>42306</v>
      </c>
      <c r="Q7" s="95"/>
      <c r="R7" s="98"/>
      <c r="S7" s="92">
        <f>E7+G7+I7+K7+M7+O7</f>
        <v>485011</v>
      </c>
    </row>
    <row r="8" spans="2:19" x14ac:dyDescent="0.2">
      <c r="B8" s="93" t="s">
        <v>9</v>
      </c>
      <c r="C8" s="94">
        <v>0.14000000000000001</v>
      </c>
      <c r="D8" s="86">
        <f t="shared" si="0"/>
        <v>490000.00000000006</v>
      </c>
      <c r="E8" s="95">
        <v>140000</v>
      </c>
      <c r="F8" s="96">
        <v>42086</v>
      </c>
      <c r="G8" s="4">
        <v>100000</v>
      </c>
      <c r="H8" s="5">
        <v>42104</v>
      </c>
      <c r="I8" s="95">
        <v>200000</v>
      </c>
      <c r="J8" s="96">
        <v>42279</v>
      </c>
      <c r="K8" s="95"/>
      <c r="L8" s="96"/>
      <c r="M8" s="95"/>
      <c r="N8" s="96"/>
      <c r="O8" s="95"/>
      <c r="P8" s="98"/>
      <c r="Q8" s="95"/>
      <c r="R8" s="98"/>
      <c r="S8" s="92">
        <f>E8+G8+I8+K8+M8+O8</f>
        <v>440000</v>
      </c>
    </row>
    <row r="9" spans="2:19" x14ac:dyDescent="0.2">
      <c r="B9" s="93" t="s">
        <v>7</v>
      </c>
      <c r="C9" s="94">
        <v>0.14000000000000001</v>
      </c>
      <c r="D9" s="86">
        <f t="shared" si="0"/>
        <v>490000.00000000006</v>
      </c>
      <c r="E9" s="95">
        <v>140000</v>
      </c>
      <c r="F9" s="96">
        <v>42079</v>
      </c>
      <c r="G9" s="4">
        <v>140000</v>
      </c>
      <c r="H9" s="5">
        <v>42107</v>
      </c>
      <c r="I9" s="95">
        <v>195234</v>
      </c>
      <c r="J9" s="96">
        <v>42045</v>
      </c>
      <c r="K9" s="95"/>
      <c r="L9" s="96"/>
      <c r="M9" s="95"/>
      <c r="N9" s="96"/>
      <c r="O9" s="95"/>
      <c r="P9" s="98"/>
      <c r="Q9" s="95"/>
      <c r="R9" s="98"/>
      <c r="S9" s="92">
        <f>E9+G9+I9+K9+M9+O9</f>
        <v>475234</v>
      </c>
    </row>
    <row r="10" spans="2:19" ht="16" thickBot="1" x14ac:dyDescent="0.25">
      <c r="B10" s="99" t="s">
        <v>6</v>
      </c>
      <c r="C10" s="100">
        <v>0.09</v>
      </c>
      <c r="D10" s="101">
        <f t="shared" si="0"/>
        <v>315000</v>
      </c>
      <c r="E10" s="102">
        <v>140000</v>
      </c>
      <c r="F10" s="103">
        <v>42080</v>
      </c>
      <c r="G10" s="104">
        <v>85000</v>
      </c>
      <c r="H10" s="105">
        <v>42104</v>
      </c>
      <c r="I10" s="106">
        <v>50000</v>
      </c>
      <c r="J10" s="107">
        <v>42107</v>
      </c>
      <c r="K10" s="102">
        <v>34553</v>
      </c>
      <c r="L10" s="96">
        <v>42282</v>
      </c>
      <c r="M10" s="102"/>
      <c r="N10" s="103"/>
      <c r="O10" s="102"/>
      <c r="P10" s="108"/>
      <c r="Q10" s="102"/>
      <c r="R10" s="108"/>
      <c r="S10" s="92">
        <f>E10+G10+I10+K10+M10+O10</f>
        <v>309553</v>
      </c>
    </row>
    <row r="11" spans="2:19" s="115" customFormat="1" ht="18" thickTop="1" thickBot="1" x14ac:dyDescent="0.25">
      <c r="B11" s="109" t="s">
        <v>26</v>
      </c>
      <c r="C11" s="110">
        <f>SUM(C4:C10)</f>
        <v>1</v>
      </c>
      <c r="D11" s="111">
        <f t="shared" ref="D11" si="1">SUM(D4:D10)</f>
        <v>3500000</v>
      </c>
      <c r="E11" s="112">
        <f>SUM(E4:E10)</f>
        <v>1000000</v>
      </c>
      <c r="F11" s="113">
        <v>42089</v>
      </c>
      <c r="G11" s="426">
        <f>SUM(G4:G10)</f>
        <v>625000</v>
      </c>
      <c r="H11" s="428"/>
      <c r="I11" s="426">
        <f>SUM(I4:I10)</f>
        <v>739234</v>
      </c>
      <c r="J11" s="428"/>
      <c r="K11" s="426">
        <f>SUM(K4:K10)</f>
        <v>560553</v>
      </c>
      <c r="L11" s="428"/>
      <c r="M11" s="426">
        <f>SUM(M4:M10)</f>
        <v>308500</v>
      </c>
      <c r="N11" s="428"/>
      <c r="O11" s="426">
        <f>SUM(O4:O10)</f>
        <v>65011</v>
      </c>
      <c r="P11" s="427"/>
      <c r="Q11" s="426">
        <f>SUM(Q4:Q10)</f>
        <v>99750</v>
      </c>
      <c r="R11" s="427"/>
      <c r="S11" s="114">
        <f>SUM(S4:S10)</f>
        <v>3398048</v>
      </c>
    </row>
    <row r="12" spans="2:19" x14ac:dyDescent="0.2">
      <c r="S12" s="116">
        <v>42283</v>
      </c>
    </row>
    <row r="13" spans="2:19" x14ac:dyDescent="0.2">
      <c r="B13" s="218" t="s">
        <v>191</v>
      </c>
      <c r="S13" s="217"/>
    </row>
    <row r="14" spans="2:19" ht="20" thickBot="1" x14ac:dyDescent="0.3">
      <c r="B14" s="29" t="s">
        <v>189</v>
      </c>
    </row>
    <row r="15" spans="2:19" ht="16" thickBot="1" x14ac:dyDescent="0.25">
      <c r="B15" s="81" t="s">
        <v>17</v>
      </c>
      <c r="C15" s="82" t="s">
        <v>18</v>
      </c>
      <c r="D15" s="279" t="s">
        <v>190</v>
      </c>
      <c r="E15" s="423" t="s">
        <v>20</v>
      </c>
      <c r="F15" s="424"/>
    </row>
    <row r="16" spans="2:19" ht="16" thickTop="1" x14ac:dyDescent="0.2">
      <c r="B16" s="84" t="s">
        <v>5</v>
      </c>
      <c r="C16" s="85">
        <v>0.18</v>
      </c>
      <c r="D16" s="86">
        <f t="shared" ref="D16:D22" si="2">C16*200000</f>
        <v>36000</v>
      </c>
      <c r="E16" s="87">
        <v>34783</v>
      </c>
      <c r="F16" s="390">
        <v>42323</v>
      </c>
    </row>
    <row r="17" spans="2:7" x14ac:dyDescent="0.2">
      <c r="B17" s="93" t="s">
        <v>16</v>
      </c>
      <c r="C17" s="94">
        <v>0.17</v>
      </c>
      <c r="D17" s="86">
        <f t="shared" si="2"/>
        <v>34000</v>
      </c>
      <c r="E17" s="95">
        <v>34000</v>
      </c>
      <c r="F17" s="391">
        <v>42339</v>
      </c>
    </row>
    <row r="18" spans="2:7" x14ac:dyDescent="0.2">
      <c r="B18" s="93" t="s">
        <v>4</v>
      </c>
      <c r="C18" s="94">
        <v>0.14000000000000001</v>
      </c>
      <c r="D18" s="86">
        <f t="shared" si="2"/>
        <v>28000.000000000004</v>
      </c>
      <c r="E18" s="95">
        <v>28000</v>
      </c>
      <c r="F18" s="391">
        <v>42308</v>
      </c>
    </row>
    <row r="19" spans="2:7" x14ac:dyDescent="0.2">
      <c r="B19" s="93" t="s">
        <v>8</v>
      </c>
      <c r="C19" s="94">
        <v>0.14000000000000001</v>
      </c>
      <c r="D19" s="86">
        <f t="shared" si="2"/>
        <v>28000.000000000004</v>
      </c>
      <c r="E19" s="95">
        <v>28000</v>
      </c>
      <c r="F19" s="391">
        <v>42339</v>
      </c>
    </row>
    <row r="20" spans="2:7" x14ac:dyDescent="0.2">
      <c r="B20" s="93" t="s">
        <v>9</v>
      </c>
      <c r="C20" s="94">
        <v>0.14000000000000001</v>
      </c>
      <c r="D20" s="86">
        <f t="shared" si="2"/>
        <v>28000.000000000004</v>
      </c>
      <c r="E20" s="95">
        <v>37425</v>
      </c>
      <c r="F20" s="391">
        <v>42339</v>
      </c>
      <c r="G20" s="265"/>
    </row>
    <row r="21" spans="2:7" x14ac:dyDescent="0.2">
      <c r="B21" s="93" t="s">
        <v>7</v>
      </c>
      <c r="C21" s="94">
        <v>0.14000000000000001</v>
      </c>
      <c r="D21" s="86">
        <f t="shared" si="2"/>
        <v>28000.000000000004</v>
      </c>
      <c r="E21" s="95">
        <v>28000</v>
      </c>
      <c r="F21" s="391">
        <v>42339</v>
      </c>
    </row>
    <row r="22" spans="2:7" ht="16" thickBot="1" x14ac:dyDescent="0.25">
      <c r="B22" s="99" t="s">
        <v>6</v>
      </c>
      <c r="C22" s="100">
        <v>0.09</v>
      </c>
      <c r="D22" s="86">
        <f t="shared" si="2"/>
        <v>18000</v>
      </c>
      <c r="E22" s="102">
        <v>18000</v>
      </c>
      <c r="F22" s="392">
        <v>42315</v>
      </c>
    </row>
    <row r="23" spans="2:7" ht="18" thickTop="1" thickBot="1" x14ac:dyDescent="0.25">
      <c r="B23" s="109" t="s">
        <v>26</v>
      </c>
      <c r="C23" s="110">
        <f>SUM(C16:C22)</f>
        <v>1</v>
      </c>
      <c r="D23" s="111">
        <f t="shared" ref="D23" si="3">SUM(D16:D22)</f>
        <v>200000</v>
      </c>
      <c r="E23" s="112">
        <f>SUM(E16:E22)</f>
        <v>208208</v>
      </c>
      <c r="F23" s="393"/>
    </row>
  </sheetData>
  <mergeCells count="14">
    <mergeCell ref="E15:F15"/>
    <mergeCell ref="Q3:R3"/>
    <mergeCell ref="Q11:R11"/>
    <mergeCell ref="O3:P3"/>
    <mergeCell ref="E3:F3"/>
    <mergeCell ref="G3:H3"/>
    <mergeCell ref="I3:J3"/>
    <mergeCell ref="K3:L3"/>
    <mergeCell ref="M3:N3"/>
    <mergeCell ref="G11:H11"/>
    <mergeCell ref="I11:J11"/>
    <mergeCell ref="K11:L11"/>
    <mergeCell ref="M11:N11"/>
    <mergeCell ref="O11:P11"/>
  </mergeCells>
  <hyperlinks>
    <hyperlink ref="B3" r:id="rId1"/>
    <hyperlink ref="B15" r:id="rId2"/>
  </hyperlinks>
  <pageMargins left="0.7" right="0.7" top="0.75" bottom="0.75" header="0.3" footer="0.3"/>
  <pageSetup paperSize="9" scale="72" orientation="landscape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W6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6" sqref="C6"/>
    </sheetView>
  </sheetViews>
  <sheetFormatPr baseColWidth="10" defaultColWidth="20.5" defaultRowHeight="15" x14ac:dyDescent="0.2"/>
  <cols>
    <col min="1" max="1" width="9.5" style="23" bestFit="1" customWidth="1"/>
    <col min="2" max="2" width="13.1640625" style="24" bestFit="1" customWidth="1"/>
    <col min="3" max="3" width="25.1640625" style="23" customWidth="1"/>
    <col min="4" max="4" width="8.1640625" style="140" bestFit="1" customWidth="1"/>
    <col min="5" max="5" width="8.83203125" style="24" bestFit="1" customWidth="1"/>
    <col min="6" max="6" width="25.1640625" style="23" customWidth="1"/>
    <col min="7" max="7" width="8.1640625" style="140" bestFit="1" customWidth="1"/>
    <col min="8" max="8" width="10.1640625" style="24" bestFit="1" customWidth="1"/>
    <col min="9" max="9" width="25.1640625" style="23" customWidth="1"/>
    <col min="10" max="10" width="9" style="140" customWidth="1"/>
    <col min="11" max="11" width="9.5" style="24" bestFit="1" customWidth="1"/>
    <col min="12" max="12" width="25.1640625" style="23" customWidth="1"/>
    <col min="13" max="13" width="8.1640625" style="140" bestFit="1" customWidth="1"/>
    <col min="14" max="14" width="9.5" style="24" bestFit="1" customWidth="1"/>
    <col min="15" max="15" width="19.1640625" style="23" customWidth="1"/>
    <col min="16" max="16" width="9.1640625" style="133" bestFit="1" customWidth="1"/>
    <col min="17" max="17" width="10.1640625" style="24" bestFit="1" customWidth="1"/>
    <col min="18" max="18" width="25.1640625" style="23" customWidth="1"/>
    <col min="19" max="19" width="8.5" style="23" bestFit="1" customWidth="1"/>
    <col min="20" max="20" width="9.6640625" style="24" bestFit="1" customWidth="1"/>
    <col min="21" max="21" width="19.5" style="23" customWidth="1"/>
    <col min="22" max="22" width="9.5" style="23" bestFit="1" customWidth="1"/>
    <col min="23" max="16384" width="20.5" style="23"/>
  </cols>
  <sheetData>
    <row r="1" spans="1:23" ht="16" thickBot="1" x14ac:dyDescent="0.25">
      <c r="A1" s="429" t="s">
        <v>28</v>
      </c>
      <c r="B1" s="431" t="s">
        <v>5</v>
      </c>
      <c r="C1" s="431"/>
      <c r="D1" s="432"/>
      <c r="E1" s="431" t="s">
        <v>16</v>
      </c>
      <c r="F1" s="431"/>
      <c r="G1" s="431"/>
      <c r="H1" s="431" t="s">
        <v>4</v>
      </c>
      <c r="I1" s="431"/>
      <c r="J1" s="431"/>
      <c r="K1" s="431" t="s">
        <v>8</v>
      </c>
      <c r="L1" s="431"/>
      <c r="M1" s="431"/>
      <c r="N1" s="431" t="s">
        <v>9</v>
      </c>
      <c r="O1" s="431"/>
      <c r="P1" s="431"/>
      <c r="Q1" s="431" t="s">
        <v>7</v>
      </c>
      <c r="R1" s="431"/>
      <c r="S1" s="431"/>
      <c r="T1" s="431" t="s">
        <v>88</v>
      </c>
      <c r="U1" s="431"/>
      <c r="V1" s="432"/>
    </row>
    <row r="2" spans="1:23" ht="17" thickTop="1" thickBot="1" x14ac:dyDescent="0.25">
      <c r="A2" s="430"/>
      <c r="B2" s="15" t="s">
        <v>0</v>
      </c>
      <c r="C2" s="13" t="s">
        <v>30</v>
      </c>
      <c r="D2" s="141" t="s">
        <v>29</v>
      </c>
      <c r="E2" s="15" t="s">
        <v>0</v>
      </c>
      <c r="F2" s="13" t="s">
        <v>30</v>
      </c>
      <c r="G2" s="135" t="s">
        <v>29</v>
      </c>
      <c r="H2" s="15" t="s">
        <v>0</v>
      </c>
      <c r="I2" s="13" t="s">
        <v>30</v>
      </c>
      <c r="J2" s="135" t="s">
        <v>29</v>
      </c>
      <c r="K2" s="15" t="s">
        <v>0</v>
      </c>
      <c r="L2" s="13" t="s">
        <v>30</v>
      </c>
      <c r="M2" s="135" t="s">
        <v>29</v>
      </c>
      <c r="N2" s="15" t="s">
        <v>0</v>
      </c>
      <c r="O2" s="13" t="s">
        <v>30</v>
      </c>
      <c r="P2" s="128" t="s">
        <v>29</v>
      </c>
      <c r="Q2" s="15" t="s">
        <v>0</v>
      </c>
      <c r="R2" s="13" t="s">
        <v>30</v>
      </c>
      <c r="S2" s="13" t="s">
        <v>29</v>
      </c>
      <c r="T2" s="15" t="s">
        <v>0</v>
      </c>
      <c r="U2" s="13" t="s">
        <v>30</v>
      </c>
      <c r="V2" s="14" t="s">
        <v>29</v>
      </c>
    </row>
    <row r="3" spans="1:23" ht="31" thickTop="1" x14ac:dyDescent="0.2">
      <c r="A3" s="16"/>
      <c r="B3" s="17">
        <v>42124</v>
      </c>
      <c r="C3" s="12" t="s">
        <v>34</v>
      </c>
      <c r="D3" s="142">
        <v>8000</v>
      </c>
      <c r="E3" s="17">
        <v>42211</v>
      </c>
      <c r="F3" s="12" t="s">
        <v>92</v>
      </c>
      <c r="G3" s="136">
        <f>40*32.75</f>
        <v>1310</v>
      </c>
      <c r="H3" s="17">
        <v>42089</v>
      </c>
      <c r="I3" s="12" t="s">
        <v>31</v>
      </c>
      <c r="J3" s="136">
        <v>700</v>
      </c>
      <c r="K3" s="17">
        <v>42114</v>
      </c>
      <c r="L3" s="117" t="s">
        <v>33</v>
      </c>
      <c r="M3" s="136">
        <v>400</v>
      </c>
      <c r="N3" s="17">
        <v>42121</v>
      </c>
      <c r="O3" s="12" t="s">
        <v>101</v>
      </c>
      <c r="P3" s="129">
        <f>62*32.75</f>
        <v>2030.5</v>
      </c>
      <c r="Q3" s="17">
        <v>42102</v>
      </c>
      <c r="R3" s="117" t="s">
        <v>12</v>
      </c>
      <c r="S3" s="12">
        <v>362</v>
      </c>
      <c r="T3" s="17">
        <v>42270</v>
      </c>
      <c r="U3" s="12" t="s">
        <v>104</v>
      </c>
      <c r="V3" s="18">
        <f>109*32.75</f>
        <v>3569.75</v>
      </c>
    </row>
    <row r="4" spans="1:23" ht="30" x14ac:dyDescent="0.2">
      <c r="A4" s="19"/>
      <c r="B4" s="20">
        <v>42192</v>
      </c>
      <c r="C4" s="21" t="s">
        <v>35</v>
      </c>
      <c r="D4" s="143">
        <v>170</v>
      </c>
      <c r="E4" s="20">
        <v>42341</v>
      </c>
      <c r="F4" s="21" t="s">
        <v>241</v>
      </c>
      <c r="G4" s="134">
        <f>42.68*32.75</f>
        <v>1397.77</v>
      </c>
      <c r="H4" s="20">
        <v>42088</v>
      </c>
      <c r="I4" s="21" t="s">
        <v>97</v>
      </c>
      <c r="J4" s="134">
        <v>130</v>
      </c>
      <c r="K4" s="20">
        <v>42114</v>
      </c>
      <c r="L4" s="21" t="s">
        <v>98</v>
      </c>
      <c r="M4" s="211">
        <v>700</v>
      </c>
      <c r="N4" s="212">
        <v>42217</v>
      </c>
      <c r="O4" s="213" t="s">
        <v>102</v>
      </c>
      <c r="P4" s="211">
        <v>21451.129999999997</v>
      </c>
      <c r="Q4" s="212">
        <v>42117</v>
      </c>
      <c r="R4" s="213" t="s">
        <v>12</v>
      </c>
      <c r="S4" s="213">
        <v>362</v>
      </c>
      <c r="T4" s="212">
        <v>42279</v>
      </c>
      <c r="U4" s="213" t="s">
        <v>116</v>
      </c>
      <c r="V4" s="214">
        <f>26*32.75</f>
        <v>851.5</v>
      </c>
      <c r="W4" s="215"/>
    </row>
    <row r="5" spans="1:23" ht="30" x14ac:dyDescent="0.2">
      <c r="A5" s="19"/>
      <c r="B5" s="20">
        <v>42296</v>
      </c>
      <c r="C5" s="21" t="s">
        <v>180</v>
      </c>
      <c r="D5" s="143">
        <v>-5750</v>
      </c>
      <c r="E5" s="20"/>
      <c r="F5" s="21"/>
      <c r="G5" s="134"/>
      <c r="H5" s="20" t="s">
        <v>95</v>
      </c>
      <c r="I5" s="21" t="s">
        <v>96</v>
      </c>
      <c r="J5" s="134">
        <f>91.15*32.75</f>
        <v>2985.1625000000004</v>
      </c>
      <c r="K5" s="20">
        <v>42299</v>
      </c>
      <c r="L5" s="21" t="s">
        <v>177</v>
      </c>
      <c r="M5" s="211">
        <v>843</v>
      </c>
      <c r="N5" s="212">
        <v>42267</v>
      </c>
      <c r="O5" s="213" t="s">
        <v>112</v>
      </c>
      <c r="P5" s="216">
        <f>114*32.75</f>
        <v>3733.5</v>
      </c>
      <c r="Q5" s="212">
        <v>42154</v>
      </c>
      <c r="R5" s="213" t="s">
        <v>99</v>
      </c>
      <c r="S5" s="213">
        <v>429</v>
      </c>
      <c r="T5" s="212">
        <v>42279</v>
      </c>
      <c r="U5" s="213" t="s">
        <v>117</v>
      </c>
      <c r="V5" s="214">
        <f>29*32.75</f>
        <v>949.75</v>
      </c>
      <c r="W5" s="215"/>
    </row>
    <row r="6" spans="1:23" ht="30" x14ac:dyDescent="0.2">
      <c r="A6" s="19"/>
      <c r="B6" s="20"/>
      <c r="C6" s="21"/>
      <c r="D6" s="143"/>
      <c r="E6" s="20"/>
      <c r="F6" s="21"/>
      <c r="G6" s="134"/>
      <c r="H6" s="20">
        <v>42106</v>
      </c>
      <c r="I6" s="117" t="s">
        <v>32</v>
      </c>
      <c r="J6" s="134">
        <v>800</v>
      </c>
      <c r="K6" s="20">
        <v>42299</v>
      </c>
      <c r="L6" s="21" t="s">
        <v>178</v>
      </c>
      <c r="M6" s="211">
        <v>3046</v>
      </c>
      <c r="N6" s="212">
        <v>42291</v>
      </c>
      <c r="O6" s="213" t="s">
        <v>164</v>
      </c>
      <c r="P6" s="216">
        <f>8*350</f>
        <v>2800</v>
      </c>
      <c r="Q6" s="212">
        <v>42140</v>
      </c>
      <c r="R6" s="213" t="s">
        <v>99</v>
      </c>
      <c r="S6" s="213">
        <v>373</v>
      </c>
      <c r="T6" s="212">
        <v>42307</v>
      </c>
      <c r="U6" s="213" t="s">
        <v>187</v>
      </c>
      <c r="V6" s="214">
        <f>33.33*32.75</f>
        <v>1091.5574999999999</v>
      </c>
      <c r="W6" s="215"/>
    </row>
    <row r="7" spans="1:23" ht="30" x14ac:dyDescent="0.2">
      <c r="A7" s="16"/>
      <c r="B7" s="20"/>
      <c r="C7" s="21"/>
      <c r="D7" s="143"/>
      <c r="E7" s="20"/>
      <c r="F7" s="21"/>
      <c r="G7" s="134"/>
      <c r="H7" s="20">
        <v>42117</v>
      </c>
      <c r="I7" s="25" t="s">
        <v>15</v>
      </c>
      <c r="J7" s="134">
        <v>200</v>
      </c>
      <c r="K7" s="20"/>
      <c r="L7" s="21"/>
      <c r="M7" s="211"/>
      <c r="N7" s="212">
        <v>42296</v>
      </c>
      <c r="O7" s="213" t="s">
        <v>180</v>
      </c>
      <c r="P7" s="216">
        <v>5750</v>
      </c>
      <c r="Q7" s="212">
        <v>42175</v>
      </c>
      <c r="R7" s="213" t="s">
        <v>99</v>
      </c>
      <c r="S7" s="213">
        <v>429</v>
      </c>
      <c r="T7" s="212">
        <v>42307</v>
      </c>
      <c r="U7" s="213" t="s">
        <v>188</v>
      </c>
      <c r="V7" s="214">
        <f>6.6*32.75</f>
        <v>216.14999999999998</v>
      </c>
      <c r="W7" s="215"/>
    </row>
    <row r="8" spans="1:23" ht="30" x14ac:dyDescent="0.2">
      <c r="A8" s="19"/>
      <c r="B8" s="20"/>
      <c r="C8" s="21"/>
      <c r="D8" s="143"/>
      <c r="E8" s="20"/>
      <c r="F8" s="21"/>
      <c r="G8" s="134"/>
      <c r="H8" s="20">
        <v>42140</v>
      </c>
      <c r="I8" s="25" t="s">
        <v>15</v>
      </c>
      <c r="J8" s="134">
        <v>962</v>
      </c>
      <c r="K8" s="20"/>
      <c r="L8" s="21"/>
      <c r="M8" s="211"/>
      <c r="N8" s="212">
        <v>42316</v>
      </c>
      <c r="O8" s="213" t="s">
        <v>199</v>
      </c>
      <c r="P8" s="216">
        <f>18.36*8*32.75</f>
        <v>4810.32</v>
      </c>
      <c r="Q8" s="212">
        <v>42175</v>
      </c>
      <c r="R8" s="213" t="s">
        <v>50</v>
      </c>
      <c r="S8" s="213">
        <v>500</v>
      </c>
      <c r="T8" s="212"/>
      <c r="U8" s="213"/>
      <c r="V8" s="214"/>
      <c r="W8" s="215"/>
    </row>
    <row r="9" spans="1:23" ht="45" x14ac:dyDescent="0.2">
      <c r="A9" s="19"/>
      <c r="B9" s="20"/>
      <c r="C9" s="21"/>
      <c r="D9" s="143"/>
      <c r="E9" s="20"/>
      <c r="F9" s="21"/>
      <c r="G9" s="134"/>
      <c r="H9" s="20">
        <v>42161</v>
      </c>
      <c r="I9" s="21" t="s">
        <v>43</v>
      </c>
      <c r="J9" s="134">
        <v>401</v>
      </c>
      <c r="K9" s="20"/>
      <c r="L9" s="21"/>
      <c r="M9" s="211"/>
      <c r="N9" s="212"/>
      <c r="O9" s="213"/>
      <c r="P9" s="216"/>
      <c r="Q9" s="212">
        <v>42268</v>
      </c>
      <c r="R9" s="213" t="s">
        <v>100</v>
      </c>
      <c r="S9" s="213">
        <f>5*350</f>
        <v>1750</v>
      </c>
      <c r="T9" s="212"/>
      <c r="U9" s="213"/>
      <c r="V9" s="214"/>
      <c r="W9" s="215"/>
    </row>
    <row r="10" spans="1:23" x14ac:dyDescent="0.2">
      <c r="A10" s="19"/>
      <c r="B10" s="20"/>
      <c r="C10" s="21"/>
      <c r="D10" s="143"/>
      <c r="E10" s="20"/>
      <c r="F10" s="21"/>
      <c r="G10" s="134"/>
      <c r="H10" s="20">
        <v>42203</v>
      </c>
      <c r="I10" s="21" t="s">
        <v>44</v>
      </c>
      <c r="J10" s="134">
        <v>582</v>
      </c>
      <c r="K10" s="20"/>
      <c r="L10" s="21"/>
      <c r="M10" s="134"/>
      <c r="N10" s="20"/>
      <c r="O10" s="21"/>
      <c r="P10" s="130"/>
      <c r="Q10" s="20">
        <v>42267</v>
      </c>
      <c r="R10" s="21" t="s">
        <v>113</v>
      </c>
      <c r="S10" s="21">
        <f>353*32.75</f>
        <v>11560.75</v>
      </c>
      <c r="T10" s="20"/>
      <c r="U10" s="21"/>
      <c r="V10" s="22"/>
    </row>
    <row r="11" spans="1:23" x14ac:dyDescent="0.2">
      <c r="A11" s="16"/>
      <c r="B11" s="20"/>
      <c r="C11" s="21"/>
      <c r="D11" s="143"/>
      <c r="E11" s="20"/>
      <c r="F11" s="21"/>
      <c r="G11" s="134"/>
      <c r="H11" s="20" t="s">
        <v>45</v>
      </c>
      <c r="I11" s="21" t="s">
        <v>46</v>
      </c>
      <c r="J11" s="134">
        <v>492</v>
      </c>
      <c r="K11" s="20"/>
      <c r="L11" s="21"/>
      <c r="M11" s="134"/>
      <c r="N11" s="20"/>
      <c r="O11" s="21"/>
      <c r="P11" s="130"/>
      <c r="Q11" s="20"/>
      <c r="R11" s="21"/>
      <c r="S11" s="21"/>
      <c r="T11" s="20"/>
      <c r="U11" s="21"/>
      <c r="V11" s="22"/>
    </row>
    <row r="12" spans="1:23" x14ac:dyDescent="0.2">
      <c r="A12" s="19"/>
      <c r="B12" s="20"/>
      <c r="C12" s="21"/>
      <c r="D12" s="143"/>
      <c r="E12" s="20"/>
      <c r="F12" s="21"/>
      <c r="G12" s="134"/>
      <c r="H12" s="20">
        <v>42213</v>
      </c>
      <c r="I12" s="21" t="s">
        <v>91</v>
      </c>
      <c r="J12" s="134">
        <f>19.1*32.75</f>
        <v>625.52500000000009</v>
      </c>
      <c r="K12" s="20"/>
      <c r="L12" s="21"/>
      <c r="M12" s="134"/>
      <c r="N12" s="20"/>
      <c r="O12" s="21"/>
      <c r="P12" s="130"/>
      <c r="Q12" s="20"/>
      <c r="R12" s="21"/>
      <c r="S12" s="21"/>
      <c r="T12" s="20"/>
      <c r="U12" s="21"/>
      <c r="V12" s="22"/>
    </row>
    <row r="13" spans="1:23" x14ac:dyDescent="0.2">
      <c r="A13" s="19"/>
      <c r="B13" s="20"/>
      <c r="C13" s="21"/>
      <c r="D13" s="143"/>
      <c r="E13" s="20"/>
      <c r="F13" s="21"/>
      <c r="G13" s="134"/>
      <c r="H13" s="20">
        <v>42213</v>
      </c>
      <c r="I13" s="21" t="s">
        <v>89</v>
      </c>
      <c r="J13" s="134">
        <f>230*32.75</f>
        <v>7532.5</v>
      </c>
      <c r="K13" s="20"/>
      <c r="L13" s="21"/>
      <c r="M13" s="134"/>
      <c r="N13" s="20"/>
      <c r="O13" s="21"/>
      <c r="P13" s="130"/>
      <c r="Q13" s="20"/>
      <c r="R13" s="21"/>
      <c r="S13" s="21"/>
      <c r="T13" s="20"/>
      <c r="U13" s="21"/>
      <c r="V13" s="22"/>
    </row>
    <row r="14" spans="1:23" ht="30" x14ac:dyDescent="0.2">
      <c r="A14" s="19"/>
      <c r="B14" s="20"/>
      <c r="C14" s="21"/>
      <c r="D14" s="143"/>
      <c r="E14" s="20"/>
      <c r="F14" s="21"/>
      <c r="G14" s="134"/>
      <c r="H14" s="20">
        <v>42213</v>
      </c>
      <c r="I14" s="21" t="s">
        <v>90</v>
      </c>
      <c r="J14" s="134">
        <f>119*32.75</f>
        <v>3897.25</v>
      </c>
      <c r="K14" s="20"/>
      <c r="L14" s="21"/>
      <c r="M14" s="134"/>
      <c r="N14" s="20"/>
      <c r="O14" s="21"/>
      <c r="P14" s="130"/>
      <c r="Q14" s="20"/>
      <c r="R14" s="21"/>
      <c r="S14" s="21"/>
      <c r="T14" s="20"/>
      <c r="U14" s="21"/>
      <c r="V14" s="22"/>
    </row>
    <row r="15" spans="1:23" x14ac:dyDescent="0.2">
      <c r="A15" s="16"/>
      <c r="B15" s="20"/>
      <c r="C15" s="21"/>
      <c r="D15" s="143"/>
      <c r="E15" s="20"/>
      <c r="F15" s="21"/>
      <c r="G15" s="134"/>
      <c r="H15" s="20">
        <v>42213</v>
      </c>
      <c r="I15" s="21" t="s">
        <v>93</v>
      </c>
      <c r="J15" s="134">
        <f>19*32.75</f>
        <v>622.25</v>
      </c>
      <c r="K15" s="20"/>
      <c r="L15" s="21"/>
      <c r="M15" s="134"/>
      <c r="N15" s="20"/>
      <c r="O15" s="21"/>
      <c r="P15" s="130"/>
      <c r="Q15" s="20"/>
      <c r="R15" s="21"/>
      <c r="S15" s="21"/>
      <c r="T15" s="20"/>
      <c r="U15" s="21"/>
      <c r="V15" s="22"/>
    </row>
    <row r="16" spans="1:23" x14ac:dyDescent="0.2">
      <c r="A16" s="16"/>
      <c r="B16" s="20"/>
      <c r="C16" s="21"/>
      <c r="D16" s="143"/>
      <c r="E16" s="20"/>
      <c r="F16" s="21"/>
      <c r="G16" s="134"/>
      <c r="H16" s="20">
        <v>42213</v>
      </c>
      <c r="I16" s="21" t="s">
        <v>94</v>
      </c>
      <c r="J16" s="134">
        <f>8.45*32.75</f>
        <v>276.73749999999995</v>
      </c>
      <c r="K16" s="20"/>
      <c r="L16" s="21"/>
      <c r="M16" s="134"/>
      <c r="N16" s="20"/>
      <c r="O16" s="21"/>
      <c r="P16" s="130"/>
      <c r="Q16" s="20"/>
      <c r="R16" s="21"/>
      <c r="S16" s="21"/>
      <c r="T16" s="20"/>
      <c r="U16" s="21"/>
      <c r="V16" s="22"/>
    </row>
    <row r="17" spans="1:22" x14ac:dyDescent="0.2">
      <c r="A17" s="16"/>
      <c r="B17" s="20"/>
      <c r="C17" s="21"/>
      <c r="D17" s="143"/>
      <c r="E17" s="20"/>
      <c r="F17" s="21"/>
      <c r="G17" s="134"/>
      <c r="H17" s="20">
        <v>42222</v>
      </c>
      <c r="I17" s="21" t="s">
        <v>44</v>
      </c>
      <c r="J17" s="134">
        <v>287</v>
      </c>
      <c r="K17" s="20"/>
      <c r="L17" s="21"/>
      <c r="M17" s="134"/>
      <c r="N17" s="20"/>
      <c r="O17" s="21"/>
      <c r="P17" s="130"/>
      <c r="Q17" s="20"/>
      <c r="R17" s="21"/>
      <c r="S17" s="21"/>
      <c r="T17" s="20"/>
      <c r="U17" s="21"/>
      <c r="V17" s="22"/>
    </row>
    <row r="18" spans="1:22" x14ac:dyDescent="0.2">
      <c r="A18" s="16"/>
      <c r="B18" s="20"/>
      <c r="C18" s="21"/>
      <c r="D18" s="143"/>
      <c r="E18" s="20"/>
      <c r="F18" s="21"/>
      <c r="G18" s="134"/>
      <c r="H18" s="20">
        <v>42233</v>
      </c>
      <c r="I18" s="21" t="s">
        <v>47</v>
      </c>
      <c r="J18" s="134">
        <v>1000</v>
      </c>
      <c r="K18" s="20"/>
      <c r="L18" s="21"/>
      <c r="M18" s="134"/>
      <c r="N18" s="20"/>
      <c r="O18" s="21"/>
      <c r="P18" s="130"/>
      <c r="Q18" s="20"/>
      <c r="R18" s="21"/>
      <c r="S18" s="21"/>
      <c r="T18" s="20"/>
      <c r="U18" s="21"/>
      <c r="V18" s="22"/>
    </row>
    <row r="19" spans="1:22" ht="30" x14ac:dyDescent="0.2">
      <c r="A19" s="16"/>
      <c r="B19" s="20"/>
      <c r="C19" s="21"/>
      <c r="D19" s="143"/>
      <c r="E19" s="20"/>
      <c r="F19" s="21"/>
      <c r="G19" s="134"/>
      <c r="H19" s="20">
        <v>42287</v>
      </c>
      <c r="I19" s="21" t="s">
        <v>161</v>
      </c>
      <c r="J19" s="134">
        <f>23.4064*32.75</f>
        <v>766.55960000000005</v>
      </c>
      <c r="K19" s="20"/>
      <c r="L19" s="21"/>
      <c r="M19" s="134"/>
      <c r="N19" s="20"/>
      <c r="O19" s="21"/>
      <c r="P19" s="130"/>
      <c r="Q19" s="20"/>
      <c r="R19" s="21"/>
      <c r="S19" s="21"/>
      <c r="T19" s="20"/>
      <c r="U19" s="21"/>
      <c r="V19" s="22"/>
    </row>
    <row r="20" spans="1:22" x14ac:dyDescent="0.2">
      <c r="A20" s="16"/>
      <c r="B20" s="20"/>
      <c r="C20" s="21"/>
      <c r="D20" s="143"/>
      <c r="E20" s="20"/>
      <c r="F20" s="21"/>
      <c r="G20" s="134"/>
      <c r="H20" s="20">
        <v>42287</v>
      </c>
      <c r="I20" s="21" t="s">
        <v>163</v>
      </c>
      <c r="J20" s="134">
        <f>54.6*32.75</f>
        <v>1788.15</v>
      </c>
      <c r="K20" s="20"/>
      <c r="L20" s="21"/>
      <c r="M20" s="134"/>
      <c r="N20" s="20"/>
      <c r="O20" s="21"/>
      <c r="P20" s="130"/>
      <c r="Q20" s="20"/>
      <c r="R20" s="21"/>
      <c r="S20" s="21"/>
      <c r="T20" s="20"/>
      <c r="U20" s="21"/>
      <c r="V20" s="22"/>
    </row>
    <row r="21" spans="1:22" x14ac:dyDescent="0.2">
      <c r="A21" s="16"/>
      <c r="B21" s="20"/>
      <c r="C21" s="21"/>
      <c r="D21" s="143"/>
      <c r="E21" s="20"/>
      <c r="F21" s="21"/>
      <c r="G21" s="134"/>
      <c r="H21" s="20">
        <v>42287</v>
      </c>
      <c r="I21" s="21" t="s">
        <v>162</v>
      </c>
      <c r="J21" s="134">
        <v>1000</v>
      </c>
      <c r="K21" s="20"/>
      <c r="L21" s="21"/>
      <c r="M21" s="134"/>
      <c r="N21" s="20"/>
      <c r="O21" s="21"/>
      <c r="P21" s="130"/>
      <c r="Q21" s="20"/>
      <c r="R21" s="21"/>
      <c r="S21" s="21"/>
      <c r="T21" s="20"/>
      <c r="U21" s="21"/>
      <c r="V21" s="22"/>
    </row>
    <row r="22" spans="1:22" x14ac:dyDescent="0.2">
      <c r="A22" s="16"/>
      <c r="B22" s="20"/>
      <c r="C22" s="21"/>
      <c r="D22" s="143"/>
      <c r="E22" s="20"/>
      <c r="F22" s="21"/>
      <c r="G22" s="134"/>
      <c r="H22" s="20"/>
      <c r="I22" s="21"/>
      <c r="J22" s="134"/>
      <c r="K22" s="20"/>
      <c r="L22" s="21"/>
      <c r="M22" s="134"/>
      <c r="N22" s="20"/>
      <c r="O22" s="21"/>
      <c r="P22" s="130"/>
      <c r="Q22" s="20"/>
      <c r="R22" s="21"/>
      <c r="S22" s="21"/>
      <c r="T22" s="20"/>
      <c r="U22" s="21"/>
      <c r="V22" s="22"/>
    </row>
    <row r="23" spans="1:22" x14ac:dyDescent="0.2">
      <c r="A23" s="16"/>
      <c r="B23" s="20"/>
      <c r="C23" s="21"/>
      <c r="D23" s="143"/>
      <c r="E23" s="20"/>
      <c r="F23" s="21"/>
      <c r="G23" s="134"/>
      <c r="H23" s="20"/>
      <c r="I23" s="21"/>
      <c r="J23" s="134"/>
      <c r="K23" s="20"/>
      <c r="L23" s="21"/>
      <c r="M23" s="134"/>
      <c r="N23" s="20"/>
      <c r="O23" s="21"/>
      <c r="P23" s="130"/>
      <c r="Q23" s="20"/>
      <c r="R23" s="21"/>
      <c r="S23" s="21"/>
      <c r="T23" s="20"/>
      <c r="U23" s="21"/>
      <c r="V23" s="22"/>
    </row>
    <row r="24" spans="1:22" x14ac:dyDescent="0.2">
      <c r="A24" s="16"/>
      <c r="B24" s="20"/>
      <c r="C24" s="21"/>
      <c r="D24" s="143"/>
      <c r="E24" s="20"/>
      <c r="F24" s="21"/>
      <c r="G24" s="134"/>
      <c r="H24" s="20"/>
      <c r="I24" s="21"/>
      <c r="J24" s="134"/>
      <c r="K24" s="20"/>
      <c r="L24" s="21"/>
      <c r="M24" s="134"/>
      <c r="N24" s="20"/>
      <c r="O24" s="21"/>
      <c r="P24" s="130"/>
      <c r="Q24" s="20"/>
      <c r="R24" s="21"/>
      <c r="S24" s="21"/>
      <c r="T24" s="20"/>
      <c r="U24" s="21"/>
      <c r="V24" s="22"/>
    </row>
    <row r="25" spans="1:22" x14ac:dyDescent="0.2">
      <c r="A25" s="16"/>
      <c r="B25" s="20"/>
      <c r="C25" s="21"/>
      <c r="D25" s="143"/>
      <c r="E25" s="20"/>
      <c r="F25" s="21"/>
      <c r="G25" s="134"/>
      <c r="H25" s="20"/>
      <c r="I25" s="21"/>
      <c r="J25" s="134"/>
      <c r="K25" s="20"/>
      <c r="L25" s="21"/>
      <c r="M25" s="134"/>
      <c r="N25" s="20"/>
      <c r="O25" s="21"/>
      <c r="P25" s="130"/>
      <c r="Q25" s="20"/>
      <c r="R25" s="21"/>
      <c r="S25" s="21"/>
      <c r="T25" s="20"/>
      <c r="U25" s="21"/>
      <c r="V25" s="22"/>
    </row>
    <row r="26" spans="1:22" x14ac:dyDescent="0.2">
      <c r="A26" s="16"/>
      <c r="B26" s="20"/>
      <c r="C26" s="21"/>
      <c r="D26" s="143"/>
      <c r="E26" s="20"/>
      <c r="F26" s="21"/>
      <c r="G26" s="134"/>
      <c r="H26" s="20"/>
      <c r="I26" s="21"/>
      <c r="J26" s="134"/>
      <c r="K26" s="20"/>
      <c r="L26" s="21"/>
      <c r="M26" s="134"/>
      <c r="N26" s="20"/>
      <c r="O26" s="21"/>
      <c r="P26" s="130"/>
      <c r="Q26" s="20"/>
      <c r="R26" s="21"/>
      <c r="S26" s="21"/>
      <c r="T26" s="20"/>
      <c r="U26" s="21"/>
      <c r="V26" s="22"/>
    </row>
    <row r="27" spans="1:22" x14ac:dyDescent="0.2">
      <c r="A27" s="16"/>
      <c r="B27" s="20"/>
      <c r="C27" s="21"/>
      <c r="D27" s="143"/>
      <c r="E27" s="20"/>
      <c r="F27" s="21"/>
      <c r="G27" s="134"/>
      <c r="H27" s="20"/>
      <c r="I27" s="21"/>
      <c r="J27" s="134"/>
      <c r="K27" s="20"/>
      <c r="L27" s="21"/>
      <c r="M27" s="134"/>
      <c r="N27" s="20"/>
      <c r="O27" s="21"/>
      <c r="P27" s="130"/>
      <c r="Q27" s="20"/>
      <c r="R27" s="21"/>
      <c r="S27" s="21"/>
      <c r="T27" s="20"/>
      <c r="U27" s="21"/>
      <c r="V27" s="22"/>
    </row>
    <row r="28" spans="1:22" x14ac:dyDescent="0.2">
      <c r="A28" s="16"/>
      <c r="B28" s="20"/>
      <c r="C28" s="21"/>
      <c r="D28" s="143"/>
      <c r="E28" s="20"/>
      <c r="F28" s="21"/>
      <c r="G28" s="134"/>
      <c r="H28" s="20"/>
      <c r="I28" s="21"/>
      <c r="J28" s="134"/>
      <c r="K28" s="20"/>
      <c r="L28" s="21"/>
      <c r="M28" s="134"/>
      <c r="N28" s="20"/>
      <c r="O28" s="21"/>
      <c r="P28" s="130"/>
      <c r="Q28" s="20"/>
      <c r="R28" s="21"/>
      <c r="S28" s="21"/>
      <c r="T28" s="20"/>
      <c r="U28" s="21"/>
      <c r="V28" s="22"/>
    </row>
    <row r="29" spans="1:22" x14ac:dyDescent="0.2">
      <c r="A29" s="19"/>
      <c r="B29" s="20"/>
      <c r="C29" s="21"/>
      <c r="D29" s="143"/>
      <c r="E29" s="20"/>
      <c r="F29" s="21"/>
      <c r="G29" s="134"/>
      <c r="H29" s="20"/>
      <c r="I29" s="21"/>
      <c r="J29" s="134"/>
      <c r="K29" s="20"/>
      <c r="L29" s="21"/>
      <c r="M29" s="134"/>
      <c r="N29" s="20"/>
      <c r="O29" s="21"/>
      <c r="P29" s="130"/>
      <c r="Q29" s="20"/>
      <c r="R29" s="21"/>
      <c r="S29" s="21"/>
      <c r="T29" s="20"/>
      <c r="U29" s="21"/>
      <c r="V29" s="22"/>
    </row>
    <row r="30" spans="1:22" ht="16" thickBot="1" x14ac:dyDescent="0.25">
      <c r="A30" s="118"/>
      <c r="B30" s="119"/>
      <c r="C30" s="120"/>
      <c r="D30" s="144"/>
      <c r="E30" s="119"/>
      <c r="F30" s="120"/>
      <c r="G30" s="137"/>
      <c r="H30" s="119"/>
      <c r="I30" s="120"/>
      <c r="J30" s="137"/>
      <c r="K30" s="119"/>
      <c r="L30" s="120"/>
      <c r="M30" s="137"/>
      <c r="N30" s="119"/>
      <c r="O30" s="120"/>
      <c r="P30" s="131"/>
      <c r="Q30" s="119"/>
      <c r="R30" s="120"/>
      <c r="S30" s="120"/>
      <c r="T30" s="119"/>
      <c r="U30" s="120"/>
      <c r="V30" s="121"/>
    </row>
    <row r="31" spans="1:22" s="146" customFormat="1" ht="17" thickBot="1" x14ac:dyDescent="0.25">
      <c r="A31" s="145" t="s">
        <v>36</v>
      </c>
      <c r="B31" s="433">
        <f>SUM(D3:D30)</f>
        <v>2420</v>
      </c>
      <c r="C31" s="434"/>
      <c r="D31" s="435"/>
      <c r="E31" s="433">
        <f>SUM(G3:G30)</f>
        <v>2707.77</v>
      </c>
      <c r="F31" s="434"/>
      <c r="G31" s="435"/>
      <c r="H31" s="433">
        <f>SUM(J3:J30)</f>
        <v>25048.134600000001</v>
      </c>
      <c r="I31" s="434"/>
      <c r="J31" s="435"/>
      <c r="K31" s="433">
        <f>SUM(M3:M30)</f>
        <v>4989</v>
      </c>
      <c r="L31" s="434"/>
      <c r="M31" s="435"/>
      <c r="N31" s="433">
        <f>SUM(P3:P30)</f>
        <v>40575.449999999997</v>
      </c>
      <c r="O31" s="434"/>
      <c r="P31" s="435"/>
      <c r="Q31" s="433">
        <f>SUM(S3:S30)</f>
        <v>15765.75</v>
      </c>
      <c r="R31" s="434"/>
      <c r="S31" s="435"/>
      <c r="T31" s="433">
        <f>SUM(V3:V30)</f>
        <v>6678.7074999999995</v>
      </c>
      <c r="U31" s="434"/>
      <c r="V31" s="435"/>
    </row>
    <row r="32" spans="1:22" s="125" customFormat="1" ht="16" x14ac:dyDescent="0.2">
      <c r="A32" s="122"/>
      <c r="B32" s="123"/>
      <c r="C32" s="123"/>
      <c r="D32" s="138"/>
      <c r="E32" s="123"/>
      <c r="F32" s="123"/>
      <c r="G32" s="138"/>
      <c r="H32" s="123"/>
      <c r="I32" s="123"/>
      <c r="J32" s="138"/>
      <c r="K32" s="123"/>
      <c r="L32" s="123"/>
      <c r="M32" s="138"/>
      <c r="N32" s="124"/>
      <c r="O32" s="124"/>
      <c r="P32" s="132"/>
      <c r="Q32" s="123"/>
      <c r="R32" s="123"/>
      <c r="S32" s="123"/>
      <c r="T32" s="124"/>
      <c r="U32" s="124"/>
      <c r="V32" s="124"/>
    </row>
    <row r="33" spans="1:22" s="148" customFormat="1" ht="19" x14ac:dyDescent="0.2">
      <c r="A33" s="147" t="s">
        <v>10</v>
      </c>
      <c r="B33" s="139">
        <f>SUM(B31:V31)</f>
        <v>98184.812099999996</v>
      </c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</row>
    <row r="35" spans="1:22" x14ac:dyDescent="0.2">
      <c r="I35"/>
    </row>
    <row r="36" spans="1:22" x14ac:dyDescent="0.2">
      <c r="I36" s="127"/>
    </row>
    <row r="37" spans="1:22" x14ac:dyDescent="0.2">
      <c r="I37"/>
    </row>
    <row r="38" spans="1:22" x14ac:dyDescent="0.2">
      <c r="I38"/>
    </row>
    <row r="39" spans="1:22" x14ac:dyDescent="0.2">
      <c r="I39"/>
    </row>
    <row r="40" spans="1:22" x14ac:dyDescent="0.2">
      <c r="I40"/>
    </row>
    <row r="41" spans="1:22" x14ac:dyDescent="0.2">
      <c r="I41"/>
    </row>
    <row r="44" spans="1:22" x14ac:dyDescent="0.2">
      <c r="I44" s="126"/>
    </row>
    <row r="52" spans="9:9" x14ac:dyDescent="0.2">
      <c r="I52" s="126"/>
    </row>
    <row r="61" spans="9:9" x14ac:dyDescent="0.2">
      <c r="I61" s="126"/>
    </row>
    <row r="67" spans="9:9" x14ac:dyDescent="0.2">
      <c r="I67" s="126"/>
    </row>
  </sheetData>
  <mergeCells count="15">
    <mergeCell ref="N31:P31"/>
    <mergeCell ref="T31:V31"/>
    <mergeCell ref="K1:M1"/>
    <mergeCell ref="E1:G1"/>
    <mergeCell ref="B1:D1"/>
    <mergeCell ref="B31:D31"/>
    <mergeCell ref="E31:G31"/>
    <mergeCell ref="H31:J31"/>
    <mergeCell ref="K31:M31"/>
    <mergeCell ref="Q31:S31"/>
    <mergeCell ref="A1:A2"/>
    <mergeCell ref="H1:J1"/>
    <mergeCell ref="Q1:S1"/>
    <mergeCell ref="N1:P1"/>
    <mergeCell ref="T1:V1"/>
  </mergeCells>
  <pageMargins left="0.7" right="0.7" top="0.75" bottom="0.75" header="0.3" footer="0.3"/>
  <pageSetup paperSize="9" scale="56" orientation="landscape" r:id="rId1"/>
  <ignoredErrors>
    <ignoredError sqref="H11" twoDigitTextYear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10" workbookViewId="0">
      <selection activeCell="B46" sqref="B46"/>
    </sheetView>
  </sheetViews>
  <sheetFormatPr baseColWidth="10" defaultColWidth="8.83203125" defaultRowHeight="15" x14ac:dyDescent="0.2"/>
  <cols>
    <col min="1" max="1" width="34.83203125" bestFit="1" customWidth="1"/>
    <col min="2" max="2" width="12.6640625" bestFit="1" customWidth="1"/>
  </cols>
  <sheetData>
    <row r="1" spans="1:2" ht="16" x14ac:dyDescent="0.2">
      <c r="A1" s="176" t="s">
        <v>126</v>
      </c>
      <c r="B1" s="177"/>
    </row>
    <row r="2" spans="1:2" x14ac:dyDescent="0.2">
      <c r="A2" s="177" t="s">
        <v>127</v>
      </c>
      <c r="B2" s="178">
        <v>1000</v>
      </c>
    </row>
    <row r="3" spans="1:2" x14ac:dyDescent="0.2">
      <c r="A3" s="177" t="s">
        <v>128</v>
      </c>
      <c r="B3" s="179">
        <v>175</v>
      </c>
    </row>
    <row r="4" spans="1:2" x14ac:dyDescent="0.2">
      <c r="A4" s="177" t="s">
        <v>129</v>
      </c>
      <c r="B4" s="179">
        <v>575</v>
      </c>
    </row>
    <row r="5" spans="1:2" x14ac:dyDescent="0.2">
      <c r="A5" s="177" t="s">
        <v>130</v>
      </c>
      <c r="B5" s="178">
        <v>280</v>
      </c>
    </row>
    <row r="6" spans="1:2" x14ac:dyDescent="0.2">
      <c r="A6" s="177" t="s">
        <v>131</v>
      </c>
      <c r="B6" s="178">
        <v>1800</v>
      </c>
    </row>
    <row r="7" spans="1:2" x14ac:dyDescent="0.2">
      <c r="A7" s="177" t="s">
        <v>132</v>
      </c>
      <c r="B7" s="178">
        <v>1836</v>
      </c>
    </row>
    <row r="8" spans="1:2" x14ac:dyDescent="0.2">
      <c r="A8" s="177" t="s">
        <v>167</v>
      </c>
      <c r="B8" s="178">
        <v>5000</v>
      </c>
    </row>
    <row r="9" spans="1:2" x14ac:dyDescent="0.2">
      <c r="A9" s="177" t="s">
        <v>133</v>
      </c>
      <c r="B9" s="178">
        <v>1537.73</v>
      </c>
    </row>
    <row r="10" spans="1:2" x14ac:dyDescent="0.2">
      <c r="A10" s="177" t="s">
        <v>134</v>
      </c>
      <c r="B10" s="179">
        <v>5524.4</v>
      </c>
    </row>
    <row r="11" spans="1:2" x14ac:dyDescent="0.2">
      <c r="A11" s="180" t="s">
        <v>36</v>
      </c>
      <c r="B11" s="181">
        <f>SUM(B2:B10)</f>
        <v>17728.129999999997</v>
      </c>
    </row>
    <row r="12" spans="1:2" x14ac:dyDescent="0.2">
      <c r="A12" s="30"/>
      <c r="B12" s="177"/>
    </row>
    <row r="13" spans="1:2" ht="16" x14ac:dyDescent="0.2">
      <c r="A13" s="176" t="s">
        <v>135</v>
      </c>
      <c r="B13" s="177"/>
    </row>
    <row r="14" spans="1:2" x14ac:dyDescent="0.2">
      <c r="A14" s="177" t="s">
        <v>136</v>
      </c>
      <c r="B14" s="179">
        <v>40</v>
      </c>
    </row>
    <row r="15" spans="1:2" x14ac:dyDescent="0.2">
      <c r="A15" s="177" t="s">
        <v>137</v>
      </c>
      <c r="B15" s="179">
        <v>170</v>
      </c>
    </row>
    <row r="16" spans="1:2" x14ac:dyDescent="0.2">
      <c r="A16" s="180" t="s">
        <v>36</v>
      </c>
      <c r="B16" s="181">
        <f>SUM(B14:B15)</f>
        <v>210</v>
      </c>
    </row>
    <row r="17" spans="1:4" x14ac:dyDescent="0.2">
      <c r="A17" s="180"/>
      <c r="B17" s="181"/>
    </row>
    <row r="18" spans="1:4" ht="16" x14ac:dyDescent="0.2">
      <c r="A18" s="176" t="s">
        <v>135</v>
      </c>
      <c r="B18" s="177"/>
    </row>
    <row r="19" spans="1:4" x14ac:dyDescent="0.2">
      <c r="A19" s="194" t="s">
        <v>138</v>
      </c>
      <c r="B19" s="178">
        <v>500</v>
      </c>
    </row>
    <row r="20" spans="1:4" x14ac:dyDescent="0.2">
      <c r="A20" s="182" t="s">
        <v>139</v>
      </c>
      <c r="B20" s="178">
        <v>15</v>
      </c>
      <c r="D20" s="195">
        <v>46935</v>
      </c>
    </row>
    <row r="21" spans="1:4" x14ac:dyDescent="0.2">
      <c r="A21" s="182" t="s">
        <v>140</v>
      </c>
      <c r="B21" s="178">
        <v>28</v>
      </c>
      <c r="D21" s="195">
        <v>38930</v>
      </c>
    </row>
    <row r="22" spans="1:4" x14ac:dyDescent="0.2">
      <c r="A22" s="194" t="s">
        <v>141</v>
      </c>
      <c r="B22" s="178">
        <v>500</v>
      </c>
      <c r="D22" s="195">
        <v>41487</v>
      </c>
    </row>
    <row r="23" spans="1:4" x14ac:dyDescent="0.2">
      <c r="A23" s="182" t="s">
        <v>142</v>
      </c>
      <c r="B23" s="183">
        <v>39</v>
      </c>
      <c r="D23" s="195">
        <v>43313</v>
      </c>
    </row>
    <row r="24" spans="1:4" x14ac:dyDescent="0.2">
      <c r="A24" s="182" t="s">
        <v>142</v>
      </c>
      <c r="B24" s="179">
        <v>56</v>
      </c>
      <c r="D24" s="195">
        <v>39326</v>
      </c>
    </row>
    <row r="25" spans="1:4" x14ac:dyDescent="0.2">
      <c r="A25" s="194" t="s">
        <v>143</v>
      </c>
      <c r="B25" s="179">
        <v>39</v>
      </c>
      <c r="D25" s="195">
        <v>40057</v>
      </c>
    </row>
    <row r="26" spans="1:4" x14ac:dyDescent="0.2">
      <c r="A26" s="182" t="s">
        <v>144</v>
      </c>
      <c r="B26" s="179">
        <v>144</v>
      </c>
      <c r="D26" s="195">
        <v>44075</v>
      </c>
    </row>
    <row r="27" spans="1:4" x14ac:dyDescent="0.2">
      <c r="A27" s="182" t="s">
        <v>145</v>
      </c>
      <c r="B27" s="179">
        <v>15</v>
      </c>
      <c r="D27" s="195">
        <v>47362</v>
      </c>
    </row>
    <row r="28" spans="1:4" x14ac:dyDescent="0.2">
      <c r="A28" s="194" t="s">
        <v>146</v>
      </c>
      <c r="B28" s="179">
        <v>500</v>
      </c>
    </row>
    <row r="29" spans="1:4" x14ac:dyDescent="0.2">
      <c r="A29" s="182" t="s">
        <v>147</v>
      </c>
      <c r="B29" s="179">
        <v>28</v>
      </c>
    </row>
    <row r="30" spans="1:4" x14ac:dyDescent="0.2">
      <c r="A30" s="194" t="s">
        <v>148</v>
      </c>
      <c r="B30" s="179">
        <v>500</v>
      </c>
    </row>
    <row r="31" spans="1:4" x14ac:dyDescent="0.2">
      <c r="A31" s="194" t="s">
        <v>149</v>
      </c>
      <c r="B31" s="179">
        <v>500</v>
      </c>
    </row>
    <row r="32" spans="1:4" x14ac:dyDescent="0.2">
      <c r="A32" s="182" t="s">
        <v>150</v>
      </c>
      <c r="B32" s="178">
        <v>39</v>
      </c>
    </row>
    <row r="33" spans="1:2" x14ac:dyDescent="0.2">
      <c r="A33" s="194" t="s">
        <v>151</v>
      </c>
      <c r="B33" s="178">
        <v>500</v>
      </c>
    </row>
    <row r="34" spans="1:2" x14ac:dyDescent="0.2">
      <c r="A34" s="182" t="s">
        <v>152</v>
      </c>
      <c r="B34" s="178">
        <v>15</v>
      </c>
    </row>
    <row r="35" spans="1:2" x14ac:dyDescent="0.2">
      <c r="A35" s="182" t="s">
        <v>153</v>
      </c>
      <c r="B35" s="178">
        <v>28</v>
      </c>
    </row>
    <row r="36" spans="1:2" x14ac:dyDescent="0.2">
      <c r="A36" s="182" t="s">
        <v>154</v>
      </c>
      <c r="B36" s="178">
        <v>28</v>
      </c>
    </row>
    <row r="37" spans="1:2" x14ac:dyDescent="0.2">
      <c r="A37" s="182" t="s">
        <v>153</v>
      </c>
      <c r="B37" s="179">
        <v>39</v>
      </c>
    </row>
    <row r="38" spans="1:2" x14ac:dyDescent="0.2">
      <c r="A38" s="180" t="s">
        <v>36</v>
      </c>
      <c r="B38" s="181">
        <f>SUM(B19:B37)</f>
        <v>3513</v>
      </c>
    </row>
    <row r="39" spans="1:2" x14ac:dyDescent="0.2">
      <c r="A39" s="30"/>
      <c r="B39" s="177"/>
    </row>
    <row r="40" spans="1:2" ht="19" x14ac:dyDescent="0.25">
      <c r="A40" s="29" t="s">
        <v>10</v>
      </c>
      <c r="B40" s="184">
        <f>SUM(B19:B37,B14:B15,B2:B10)</f>
        <v>21451.129999999997</v>
      </c>
    </row>
    <row r="41" spans="1:2" x14ac:dyDescent="0.2">
      <c r="B41" s="185">
        <f>B38+B16+B11</f>
        <v>21451.129999999997</v>
      </c>
    </row>
    <row r="43" spans="1:2" x14ac:dyDescent="0.2">
      <c r="B43" s="196">
        <f>B40+2800</f>
        <v>24251.129999999997</v>
      </c>
    </row>
    <row r="44" spans="1:2" x14ac:dyDescent="0.2">
      <c r="B44" s="196">
        <v>30000</v>
      </c>
    </row>
    <row r="45" spans="1:2" x14ac:dyDescent="0.2">
      <c r="B45" s="196">
        <f>B44-B43</f>
        <v>5748.8700000000026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U47"/>
  <sheetViews>
    <sheetView showGridLines="0" zoomScale="85" zoomScaleNormal="85" zoomScalePageLayoutView="85" workbookViewId="0">
      <selection activeCell="O38" sqref="A37:O38"/>
    </sheetView>
  </sheetViews>
  <sheetFormatPr baseColWidth="10" defaultColWidth="8.83203125" defaultRowHeight="13" x14ac:dyDescent="0.15"/>
  <cols>
    <col min="1" max="1" width="1.1640625" style="51" customWidth="1"/>
    <col min="2" max="2" width="31.5" style="51" customWidth="1"/>
    <col min="3" max="4" width="11.83203125" style="78" customWidth="1"/>
    <col min="5" max="5" width="10.6640625" style="78" bestFit="1" customWidth="1"/>
    <col min="6" max="6" width="7.1640625" style="78" customWidth="1"/>
    <col min="7" max="10" width="9.83203125" style="78" customWidth="1"/>
    <col min="11" max="12" width="9.83203125" style="78" bestFit="1" customWidth="1"/>
    <col min="13" max="13" width="12.5" style="78" customWidth="1"/>
    <col min="14" max="14" width="1.1640625" style="78" customWidth="1"/>
    <col min="15" max="15" width="15.5" style="78" bestFit="1" customWidth="1"/>
    <col min="16" max="16" width="11.83203125" style="78" bestFit="1" customWidth="1"/>
    <col min="17" max="17" width="12.5" style="78" bestFit="1" customWidth="1"/>
    <col min="18" max="18" width="11.83203125" style="78" bestFit="1" customWidth="1"/>
    <col min="19" max="19" width="9.83203125" style="51" bestFit="1" customWidth="1"/>
    <col min="20" max="20" width="11.83203125" style="51" bestFit="1" customWidth="1"/>
    <col min="21" max="16384" width="8.83203125" style="51"/>
  </cols>
  <sheetData>
    <row r="1" spans="2:21" ht="18" x14ac:dyDescent="0.2">
      <c r="B1" s="48" t="s">
        <v>81</v>
      </c>
    </row>
    <row r="2" spans="2:21" ht="18" x14ac:dyDescent="0.2">
      <c r="B2" s="48"/>
    </row>
    <row r="3" spans="2:21" ht="17" thickBot="1" x14ac:dyDescent="0.25">
      <c r="B3" s="49" t="s">
        <v>70</v>
      </c>
    </row>
    <row r="4" spans="2:21" ht="14" thickBot="1" x14ac:dyDescent="0.2">
      <c r="B4" s="53" t="s">
        <v>73</v>
      </c>
      <c r="C4" s="54">
        <v>42064</v>
      </c>
      <c r="D4" s="54">
        <v>42095</v>
      </c>
      <c r="E4" s="54">
        <v>42125</v>
      </c>
      <c r="F4" s="54">
        <v>42156</v>
      </c>
      <c r="G4" s="54">
        <v>42186</v>
      </c>
      <c r="H4" s="54">
        <v>42217</v>
      </c>
      <c r="I4" s="54">
        <v>42248</v>
      </c>
      <c r="J4" s="54">
        <v>42278</v>
      </c>
      <c r="K4" s="223">
        <v>42323</v>
      </c>
      <c r="L4" s="223">
        <v>42339</v>
      </c>
      <c r="M4" s="55" t="s">
        <v>283</v>
      </c>
      <c r="O4" s="230" t="s">
        <v>205</v>
      </c>
      <c r="P4" s="156" t="s">
        <v>203</v>
      </c>
      <c r="Q4" s="156" t="s">
        <v>204</v>
      </c>
      <c r="R4" s="156" t="s">
        <v>78</v>
      </c>
      <c r="S4" s="150" t="s">
        <v>11</v>
      </c>
    </row>
    <row r="5" spans="2:21" s="58" customFormat="1" ht="14" thickTop="1" x14ac:dyDescent="0.15">
      <c r="B5" s="56" t="s">
        <v>5</v>
      </c>
      <c r="C5" s="75">
        <v>150000</v>
      </c>
      <c r="D5" s="75">
        <v>243000</v>
      </c>
      <c r="E5" s="75"/>
      <c r="F5" s="75"/>
      <c r="G5" s="75"/>
      <c r="H5" s="75">
        <v>237000</v>
      </c>
      <c r="I5" s="75"/>
      <c r="J5" s="165"/>
      <c r="K5" s="165">
        <v>34783</v>
      </c>
      <c r="L5" s="165"/>
      <c r="M5" s="57">
        <f>SUM(C5:L5)</f>
        <v>664783</v>
      </c>
      <c r="N5" s="153"/>
      <c r="O5" s="231">
        <v>630000</v>
      </c>
      <c r="P5" s="71">
        <f>200000*0.18</f>
        <v>36000</v>
      </c>
      <c r="Q5" s="71">
        <f>P5+O5</f>
        <v>666000</v>
      </c>
      <c r="R5" s="71">
        <f t="shared" ref="R5:R11" si="0">M28</f>
        <v>2420</v>
      </c>
      <c r="S5" s="151">
        <f>Q5-M5-R5+18.36*2*32.75</f>
        <v>-0.42000000000007276</v>
      </c>
      <c r="T5" s="229"/>
    </row>
    <row r="6" spans="2:21" x14ac:dyDescent="0.15">
      <c r="B6" s="59" t="s">
        <v>16</v>
      </c>
      <c r="C6" s="71">
        <v>150000</v>
      </c>
      <c r="D6" s="71">
        <v>200000</v>
      </c>
      <c r="E6" s="71"/>
      <c r="F6" s="71"/>
      <c r="G6" s="71"/>
      <c r="H6" s="71">
        <v>243500</v>
      </c>
      <c r="I6" s="71"/>
      <c r="J6" s="166"/>
      <c r="K6" s="165"/>
      <c r="L6" s="165">
        <v>34000</v>
      </c>
      <c r="M6" s="57">
        <f>SUM(C6:L6)</f>
        <v>627500</v>
      </c>
      <c r="N6" s="153"/>
      <c r="O6" s="231">
        <v>595000</v>
      </c>
      <c r="P6" s="71">
        <f>200000*0.17</f>
        <v>34000</v>
      </c>
      <c r="Q6" s="71">
        <f t="shared" ref="Q6:Q11" si="1">P6+O6</f>
        <v>629000</v>
      </c>
      <c r="R6" s="71">
        <f t="shared" si="0"/>
        <v>2707.77</v>
      </c>
      <c r="S6" s="151">
        <f>Q6-M6-R6+18.36*2*32.75</f>
        <v>-5.1900000000000546</v>
      </c>
    </row>
    <row r="7" spans="2:21" x14ac:dyDescent="0.15">
      <c r="B7" s="60" t="s">
        <v>4</v>
      </c>
      <c r="C7" s="66">
        <v>140000</v>
      </c>
      <c r="D7" s="66">
        <v>225000</v>
      </c>
      <c r="E7" s="66"/>
      <c r="F7" s="66"/>
      <c r="G7" s="66"/>
      <c r="H7" s="66">
        <v>99750</v>
      </c>
      <c r="I7" s="66"/>
      <c r="J7" s="167"/>
      <c r="K7" s="169">
        <f>'BOD Credit Details'!E18</f>
        <v>28000</v>
      </c>
      <c r="L7" s="169"/>
      <c r="M7" s="57">
        <f t="shared" ref="M7" si="2">SUM(C7:L7)</f>
        <v>492750</v>
      </c>
      <c r="O7" s="232">
        <v>490000.00000000006</v>
      </c>
      <c r="P7" s="71">
        <f>200000*0.14</f>
        <v>28000.000000000004</v>
      </c>
      <c r="Q7" s="71">
        <f t="shared" si="1"/>
        <v>518000.00000000006</v>
      </c>
      <c r="R7" s="66">
        <f t="shared" si="0"/>
        <v>25048.134599999998</v>
      </c>
      <c r="S7" s="151">
        <f>Q7-M7-R7+18.36*32.75</f>
        <v>803.15540000006058</v>
      </c>
    </row>
    <row r="8" spans="2:21" x14ac:dyDescent="0.15">
      <c r="B8" s="60" t="s">
        <v>8</v>
      </c>
      <c r="C8" s="66">
        <v>140000</v>
      </c>
      <c r="D8" s="66">
        <v>100000</v>
      </c>
      <c r="E8" s="66"/>
      <c r="F8" s="66"/>
      <c r="G8" s="66">
        <v>100000</v>
      </c>
      <c r="H8" s="66"/>
      <c r="I8" s="66"/>
      <c r="J8" s="167">
        <f>'BOD Credit Details'!K7+'BOD Credit Details'!M7+'BOD Credit Details'!O7</f>
        <v>145011</v>
      </c>
      <c r="K8" s="169"/>
      <c r="L8" s="169">
        <v>28000</v>
      </c>
      <c r="M8" s="57">
        <f>SUM(C8:L8)</f>
        <v>513011</v>
      </c>
      <c r="O8" s="232">
        <v>490000.00000000006</v>
      </c>
      <c r="P8" s="71">
        <f>200000*0.14</f>
        <v>28000.000000000004</v>
      </c>
      <c r="Q8" s="71">
        <f t="shared" si="1"/>
        <v>518000.00000000006</v>
      </c>
      <c r="R8" s="66">
        <f t="shared" si="0"/>
        <v>4989</v>
      </c>
      <c r="S8" s="151">
        <f>Q8-M8-R8</f>
        <v>5.8207660913467407E-11</v>
      </c>
      <c r="U8" s="68"/>
    </row>
    <row r="9" spans="2:21" x14ac:dyDescent="0.15">
      <c r="B9" s="60" t="s">
        <v>9</v>
      </c>
      <c r="C9" s="66">
        <v>140000</v>
      </c>
      <c r="D9" s="66">
        <v>100000</v>
      </c>
      <c r="E9" s="66"/>
      <c r="F9" s="66"/>
      <c r="G9" s="66"/>
      <c r="H9" s="66"/>
      <c r="I9" s="66"/>
      <c r="J9" s="167">
        <f>'BOD Credit Details'!I8</f>
        <v>200000</v>
      </c>
      <c r="K9" s="169"/>
      <c r="L9" s="169">
        <f>58425-21000</f>
        <v>37425</v>
      </c>
      <c r="M9" s="57">
        <f>SUM(C9:L9)</f>
        <v>477425</v>
      </c>
      <c r="O9" s="232">
        <v>490000.00000000006</v>
      </c>
      <c r="P9" s="71">
        <f>200000*0.14</f>
        <v>28000.000000000004</v>
      </c>
      <c r="Q9" s="71">
        <f t="shared" si="1"/>
        <v>518000.00000000006</v>
      </c>
      <c r="R9" s="66">
        <f t="shared" si="0"/>
        <v>40575.449999999997</v>
      </c>
      <c r="S9" s="151">
        <f>Q9-M9-R9</f>
        <v>-0.44999999993888196</v>
      </c>
      <c r="U9" s="68"/>
    </row>
    <row r="10" spans="2:21" x14ac:dyDescent="0.15">
      <c r="B10" s="60" t="s">
        <v>7</v>
      </c>
      <c r="C10" s="66">
        <v>140000</v>
      </c>
      <c r="D10" s="66">
        <v>140000</v>
      </c>
      <c r="E10" s="66"/>
      <c r="F10" s="66"/>
      <c r="G10" s="66"/>
      <c r="H10" s="66"/>
      <c r="I10" s="66"/>
      <c r="J10" s="167">
        <f>'BOD Credit Details'!I9</f>
        <v>195234</v>
      </c>
      <c r="K10" s="169"/>
      <c r="L10" s="169">
        <v>28000</v>
      </c>
      <c r="M10" s="57">
        <f>SUM(C10:L10)</f>
        <v>503234</v>
      </c>
      <c r="O10" s="232">
        <v>490000.00000000006</v>
      </c>
      <c r="P10" s="71">
        <f>200000*0.14</f>
        <v>28000.000000000004</v>
      </c>
      <c r="Q10" s="71">
        <f t="shared" si="1"/>
        <v>518000.00000000006</v>
      </c>
      <c r="R10" s="66">
        <f t="shared" si="0"/>
        <v>15765.75</v>
      </c>
      <c r="S10" s="151">
        <f>Q10-M10-R10+18.36*32.75*2</f>
        <v>202.83000000005813</v>
      </c>
    </row>
    <row r="11" spans="2:21" ht="14" thickBot="1" x14ac:dyDescent="0.2">
      <c r="B11" s="61" t="s">
        <v>6</v>
      </c>
      <c r="C11" s="67">
        <v>140000</v>
      </c>
      <c r="D11" s="67">
        <v>135000</v>
      </c>
      <c r="E11" s="67"/>
      <c r="F11" s="67"/>
      <c r="G11" s="67"/>
      <c r="H11" s="67"/>
      <c r="I11" s="67"/>
      <c r="J11" s="168">
        <f>'BOD Credit Details'!K10</f>
        <v>34553</v>
      </c>
      <c r="K11" s="224">
        <f>'BOD Credit Details'!E22</f>
        <v>18000</v>
      </c>
      <c r="L11" s="224"/>
      <c r="M11" s="174">
        <f>SUM(C11:L11)</f>
        <v>327553</v>
      </c>
      <c r="O11" s="233">
        <v>315000</v>
      </c>
      <c r="P11" s="72">
        <f>200000*0.09</f>
        <v>18000</v>
      </c>
      <c r="Q11" s="72">
        <f t="shared" si="1"/>
        <v>333000</v>
      </c>
      <c r="R11" s="67">
        <f t="shared" si="0"/>
        <v>6678.7075000000004</v>
      </c>
      <c r="S11" s="152">
        <f>Q11-M11-R11+18.36*32.75</f>
        <v>-630.41750000000047</v>
      </c>
    </row>
    <row r="12" spans="2:21" s="49" customFormat="1" ht="16" x14ac:dyDescent="0.2">
      <c r="B12" s="49" t="s">
        <v>77</v>
      </c>
      <c r="C12" s="50">
        <f>SUM(C5:C11)</f>
        <v>1000000</v>
      </c>
      <c r="D12" s="50">
        <f t="shared" ref="D12:L12" si="3">SUM(D5:D11)</f>
        <v>1143000</v>
      </c>
      <c r="E12" s="50">
        <f t="shared" si="3"/>
        <v>0</v>
      </c>
      <c r="F12" s="50">
        <f t="shared" si="3"/>
        <v>0</v>
      </c>
      <c r="G12" s="50">
        <f t="shared" si="3"/>
        <v>100000</v>
      </c>
      <c r="H12" s="50">
        <f t="shared" si="3"/>
        <v>580250</v>
      </c>
      <c r="I12" s="50">
        <f t="shared" si="3"/>
        <v>0</v>
      </c>
      <c r="J12" s="50">
        <f t="shared" si="3"/>
        <v>574798</v>
      </c>
      <c r="K12" s="50">
        <f t="shared" si="3"/>
        <v>80783</v>
      </c>
      <c r="L12" s="50">
        <f t="shared" si="3"/>
        <v>127425</v>
      </c>
      <c r="M12" s="50">
        <f>SUM(M5:M11)</f>
        <v>3606256</v>
      </c>
      <c r="N12" s="79"/>
      <c r="O12" s="50">
        <f>SUM(O5:O11)</f>
        <v>3500000</v>
      </c>
      <c r="P12" s="193">
        <f>SUM(P5:P11)</f>
        <v>200000</v>
      </c>
      <c r="Q12" s="193">
        <f>SUM(Q5:Q11)</f>
        <v>3700000</v>
      </c>
      <c r="R12" s="50">
        <f>SUM(R5:R11)</f>
        <v>98184.812099999996</v>
      </c>
      <c r="S12" s="193">
        <f>SUM(S5:S11)</f>
        <v>369.50790000023744</v>
      </c>
      <c r="T12" s="269">
        <f>R12+M12+S12</f>
        <v>3704810.3200000003</v>
      </c>
    </row>
    <row r="13" spans="2:21" x14ac:dyDescent="0.15">
      <c r="M13" s="162">
        <f>SUM(C12:L12)</f>
        <v>3606256</v>
      </c>
      <c r="Q13" s="197"/>
      <c r="R13" s="197"/>
    </row>
    <row r="15" spans="2:21" s="49" customFormat="1" ht="17" thickBot="1" x14ac:dyDescent="0.25">
      <c r="B15" s="49" t="s">
        <v>71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8"/>
      <c r="P15" s="78"/>
      <c r="Q15" s="79"/>
      <c r="R15" s="79"/>
      <c r="T15" s="269"/>
    </row>
    <row r="16" spans="2:21" s="52" customFormat="1" ht="14" thickBot="1" x14ac:dyDescent="0.2">
      <c r="B16" s="62" t="s">
        <v>78</v>
      </c>
      <c r="C16" s="54">
        <v>42064</v>
      </c>
      <c r="D16" s="54">
        <v>42095</v>
      </c>
      <c r="E16" s="54">
        <v>42125</v>
      </c>
      <c r="F16" s="54">
        <v>42156</v>
      </c>
      <c r="G16" s="54">
        <v>42186</v>
      </c>
      <c r="H16" s="54">
        <v>42217</v>
      </c>
      <c r="I16" s="54">
        <v>42248</v>
      </c>
      <c r="J16" s="54">
        <v>42278</v>
      </c>
      <c r="K16" s="223">
        <v>42323</v>
      </c>
      <c r="L16" s="223">
        <v>42339</v>
      </c>
      <c r="M16" s="55" t="s">
        <v>283</v>
      </c>
      <c r="N16" s="154"/>
      <c r="O16" s="78"/>
      <c r="P16" s="78"/>
      <c r="Q16" s="154"/>
      <c r="R16" s="154"/>
      <c r="T16" s="51"/>
    </row>
    <row r="17" spans="2:19" ht="14" thickTop="1" x14ac:dyDescent="0.15">
      <c r="B17" s="63" t="s">
        <v>87</v>
      </c>
      <c r="C17" s="64"/>
      <c r="D17" s="64">
        <f>650000+54000</f>
        <v>704000</v>
      </c>
      <c r="E17" s="64"/>
      <c r="F17" s="64"/>
      <c r="G17" s="64"/>
      <c r="H17" s="64"/>
      <c r="I17" s="64"/>
      <c r="J17" s="169">
        <v>46000</v>
      </c>
      <c r="K17" s="169"/>
      <c r="L17" s="169">
        <f>SUM('Mont Albo'!D6:D10)</f>
        <v>336488.48000000004</v>
      </c>
      <c r="M17" s="65">
        <f>SUM(C17:L17)</f>
        <v>1086488.48</v>
      </c>
      <c r="S17" s="68"/>
    </row>
    <row r="18" spans="2:19" x14ac:dyDescent="0.15">
      <c r="B18" s="60" t="s">
        <v>72</v>
      </c>
      <c r="C18" s="66"/>
      <c r="D18" s="66"/>
      <c r="E18" s="66"/>
      <c r="F18" s="66"/>
      <c r="G18" s="66"/>
      <c r="H18" s="66">
        <v>345000</v>
      </c>
      <c r="I18" s="66"/>
      <c r="J18" s="167"/>
      <c r="K18" s="169"/>
      <c r="L18" s="169"/>
      <c r="M18" s="65">
        <f t="shared" ref="M18:M20" si="4">SUM(C18:L18)</f>
        <v>345000</v>
      </c>
    </row>
    <row r="19" spans="2:19" x14ac:dyDescent="0.15">
      <c r="B19" s="60" t="s">
        <v>27</v>
      </c>
      <c r="C19" s="66"/>
      <c r="D19" s="66"/>
      <c r="E19" s="66"/>
      <c r="F19" s="66">
        <v>2000</v>
      </c>
      <c r="G19" s="66">
        <v>8000</v>
      </c>
      <c r="H19" s="66">
        <v>350000</v>
      </c>
      <c r="I19" s="66">
        <f>SUM('Kuya Tommy'!D6:D9)</f>
        <v>450000</v>
      </c>
      <c r="J19" s="167">
        <f>SUM('Kuya Tommy'!D10:D16)</f>
        <v>700000</v>
      </c>
      <c r="K19" s="169">
        <f>'Kuya Tommy'!D17+'Kuya Tommy'!D18</f>
        <v>118930</v>
      </c>
      <c r="L19" s="169"/>
      <c r="M19" s="65">
        <f t="shared" si="4"/>
        <v>1628930</v>
      </c>
    </row>
    <row r="20" spans="2:19" ht="14" thickBot="1" x14ac:dyDescent="0.2">
      <c r="B20" s="61" t="s">
        <v>42</v>
      </c>
      <c r="C20" s="67"/>
      <c r="D20" s="67"/>
      <c r="E20" s="67"/>
      <c r="F20" s="67"/>
      <c r="G20" s="67">
        <v>276</v>
      </c>
      <c r="H20" s="67">
        <v>30000</v>
      </c>
      <c r="I20" s="67">
        <f>SUM(Carmie!C8:C20)</f>
        <v>130000</v>
      </c>
      <c r="J20" s="168">
        <f>SUM(Carmie!C21:C24)</f>
        <v>100000</v>
      </c>
      <c r="K20" s="224">
        <f>SUM(Carmie!C25:C30)</f>
        <v>139717.95000000001</v>
      </c>
      <c r="L20" s="224">
        <f>Carmie!C31</f>
        <v>60000</v>
      </c>
      <c r="M20" s="171">
        <f t="shared" si="4"/>
        <v>459993.95</v>
      </c>
    </row>
    <row r="21" spans="2:19" s="49" customFormat="1" ht="16" x14ac:dyDescent="0.2">
      <c r="B21" s="49" t="s">
        <v>79</v>
      </c>
      <c r="C21" s="50">
        <f t="shared" ref="C21:M21" si="5">SUM(C17:C20)</f>
        <v>0</v>
      </c>
      <c r="D21" s="50">
        <f t="shared" si="5"/>
        <v>704000</v>
      </c>
      <c r="E21" s="50">
        <f t="shared" si="5"/>
        <v>0</v>
      </c>
      <c r="F21" s="50">
        <f t="shared" si="5"/>
        <v>2000</v>
      </c>
      <c r="G21" s="50">
        <f t="shared" si="5"/>
        <v>8276</v>
      </c>
      <c r="H21" s="50">
        <f t="shared" si="5"/>
        <v>725000</v>
      </c>
      <c r="I21" s="50">
        <f t="shared" si="5"/>
        <v>580000</v>
      </c>
      <c r="J21" s="50">
        <f t="shared" si="5"/>
        <v>846000</v>
      </c>
      <c r="K21" s="50">
        <f t="shared" si="5"/>
        <v>258647.95</v>
      </c>
      <c r="L21" s="50">
        <f t="shared" si="5"/>
        <v>396488.48000000004</v>
      </c>
      <c r="M21" s="50">
        <f t="shared" si="5"/>
        <v>3520412.43</v>
      </c>
      <c r="N21" s="79"/>
      <c r="O21" s="78"/>
      <c r="P21" s="78"/>
      <c r="Q21" s="79"/>
      <c r="R21" s="79"/>
    </row>
    <row r="22" spans="2:19" x14ac:dyDescent="0.15"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162">
        <f>SUM(C21:L21)</f>
        <v>3520412.43</v>
      </c>
    </row>
    <row r="23" spans="2:19" s="49" customFormat="1" ht="16" x14ac:dyDescent="0.2">
      <c r="B23" s="69" t="s">
        <v>80</v>
      </c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>
        <f>M12-M21</f>
        <v>85843.569999999832</v>
      </c>
      <c r="N23" s="79"/>
      <c r="O23" s="77"/>
      <c r="P23" s="50"/>
      <c r="Q23" s="79"/>
      <c r="R23" s="79"/>
    </row>
    <row r="24" spans="2:19" ht="16" x14ac:dyDescent="0.2">
      <c r="M24" s="198">
        <f>M23+'SPA Income'!B26</f>
        <v>317561.56999999983</v>
      </c>
      <c r="O24" s="250"/>
    </row>
    <row r="25" spans="2:19" ht="16" x14ac:dyDescent="0.2">
      <c r="M25" s="77"/>
      <c r="O25" s="192"/>
    </row>
    <row r="26" spans="2:19" s="70" customFormat="1" ht="17" thickBot="1" x14ac:dyDescent="0.25">
      <c r="B26" s="49" t="s">
        <v>242</v>
      </c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77"/>
      <c r="P26" s="80"/>
      <c r="Q26" s="175"/>
      <c r="R26" s="175"/>
    </row>
    <row r="27" spans="2:19" ht="14" thickBot="1" x14ac:dyDescent="0.2">
      <c r="B27" s="53" t="s">
        <v>73</v>
      </c>
      <c r="C27" s="54">
        <v>42064</v>
      </c>
      <c r="D27" s="54">
        <v>42095</v>
      </c>
      <c r="E27" s="54">
        <v>42125</v>
      </c>
      <c r="F27" s="54">
        <v>42156</v>
      </c>
      <c r="G27" s="54">
        <v>42186</v>
      </c>
      <c r="H27" s="54">
        <v>42217</v>
      </c>
      <c r="I27" s="54">
        <v>42248</v>
      </c>
      <c r="J27" s="54">
        <v>42278</v>
      </c>
      <c r="K27" s="54">
        <v>42309</v>
      </c>
      <c r="L27" s="223">
        <v>42353</v>
      </c>
      <c r="M27" s="55" t="s">
        <v>283</v>
      </c>
      <c r="O27" s="77"/>
    </row>
    <row r="28" spans="2:19" ht="14" thickTop="1" x14ac:dyDescent="0.15">
      <c r="B28" s="56" t="s">
        <v>5</v>
      </c>
      <c r="C28" s="75"/>
      <c r="D28" s="75">
        <f>'BODs Expenses'!D3</f>
        <v>8000</v>
      </c>
      <c r="E28" s="75"/>
      <c r="F28" s="75"/>
      <c r="G28" s="75">
        <f>'BODs Expenses'!D4</f>
        <v>170</v>
      </c>
      <c r="H28" s="75"/>
      <c r="I28" s="75"/>
      <c r="J28" s="165">
        <v>-5750</v>
      </c>
      <c r="K28" s="165"/>
      <c r="L28" s="165"/>
      <c r="M28" s="57">
        <f>SUM(C28:L28)</f>
        <v>2420</v>
      </c>
      <c r="P28" s="264"/>
    </row>
    <row r="29" spans="2:19" x14ac:dyDescent="0.15">
      <c r="B29" s="59" t="s">
        <v>16</v>
      </c>
      <c r="C29" s="71"/>
      <c r="D29" s="71"/>
      <c r="E29" s="71"/>
      <c r="F29" s="71"/>
      <c r="G29" s="71">
        <f>'BODs Expenses'!G3</f>
        <v>1310</v>
      </c>
      <c r="H29" s="71"/>
      <c r="I29" s="71"/>
      <c r="J29" s="166"/>
      <c r="K29" s="165"/>
      <c r="L29" s="165">
        <f>'BODs Expenses'!G4</f>
        <v>1397.77</v>
      </c>
      <c r="M29" s="57">
        <f t="shared" ref="M29:M34" si="6">SUM(C29:L29)</f>
        <v>2707.77</v>
      </c>
    </row>
    <row r="30" spans="2:19" x14ac:dyDescent="0.15">
      <c r="B30" s="73" t="s">
        <v>4</v>
      </c>
      <c r="C30" s="71">
        <f>'BODs Expenses'!J3+'BODs Expenses'!J4+'BODs Expenses'!J5</f>
        <v>3815.1625000000004</v>
      </c>
      <c r="D30" s="71">
        <f>'BODs Expenses'!J6+'BODs Expenses'!J7</f>
        <v>1000</v>
      </c>
      <c r="E30" s="71">
        <f>'BODs Expenses'!J8</f>
        <v>962</v>
      </c>
      <c r="F30" s="71">
        <f>'BODs Expenses'!J9</f>
        <v>401</v>
      </c>
      <c r="G30" s="71">
        <f>'BODs Expenses'!J10+'BODs Expenses'!J11+'BODs Expenses'!J12+'BODs Expenses'!J13+'BODs Expenses'!J14+'BODs Expenses'!J15+'BODs Expenses'!J16</f>
        <v>14028.262499999999</v>
      </c>
      <c r="H30" s="71">
        <f>'BODs Expenses'!J17+'BODs Expenses'!J18</f>
        <v>1287</v>
      </c>
      <c r="I30" s="71"/>
      <c r="J30" s="166">
        <f>'BODs Expenses'!J19+'BODs Expenses'!J20+'BODs Expenses'!J21</f>
        <v>3554.7096000000001</v>
      </c>
      <c r="K30" s="165"/>
      <c r="L30" s="165"/>
      <c r="M30" s="57">
        <f t="shared" si="6"/>
        <v>25048.134599999998</v>
      </c>
    </row>
    <row r="31" spans="2:19" ht="16" x14ac:dyDescent="0.2">
      <c r="B31" s="73" t="s">
        <v>8</v>
      </c>
      <c r="C31" s="71"/>
      <c r="D31" s="71">
        <f>'BODs Expenses'!M3+'BODs Expenses'!M4</f>
        <v>1100</v>
      </c>
      <c r="E31" s="71"/>
      <c r="F31" s="71"/>
      <c r="G31" s="71"/>
      <c r="H31" s="71"/>
      <c r="I31" s="71"/>
      <c r="J31" s="166">
        <f>SUM('BODs Expenses'!M5:M6)</f>
        <v>3889</v>
      </c>
      <c r="K31" s="165"/>
      <c r="L31" s="165"/>
      <c r="M31" s="57">
        <f t="shared" si="6"/>
        <v>4989</v>
      </c>
      <c r="P31" s="77"/>
      <c r="Q31" s="192"/>
      <c r="R31" s="192"/>
    </row>
    <row r="32" spans="2:19" x14ac:dyDescent="0.15">
      <c r="B32" s="73" t="s">
        <v>9</v>
      </c>
      <c r="C32" s="71"/>
      <c r="D32" s="71">
        <f>'BODs Expenses'!P3</f>
        <v>2030.5</v>
      </c>
      <c r="E32" s="71"/>
      <c r="F32" s="71"/>
      <c r="G32" s="71"/>
      <c r="H32" s="71">
        <f>'BODs Expenses'!P4</f>
        <v>21451.129999999997</v>
      </c>
      <c r="I32" s="71">
        <f>'BODs Expenses'!P5</f>
        <v>3733.5</v>
      </c>
      <c r="J32" s="166">
        <f>'BODs Expenses'!P6+'BODs Expenses'!P7</f>
        <v>8550</v>
      </c>
      <c r="K32" s="165">
        <f>'BODs Expenses'!P8</f>
        <v>4810.32</v>
      </c>
      <c r="L32" s="165"/>
      <c r="M32" s="57">
        <f t="shared" si="6"/>
        <v>40575.449999999997</v>
      </c>
    </row>
    <row r="33" spans="2:18" x14ac:dyDescent="0.15">
      <c r="B33" s="73" t="s">
        <v>7</v>
      </c>
      <c r="C33" s="71"/>
      <c r="D33" s="71">
        <f>'BODs Expenses'!S3+'BODs Expenses'!S4</f>
        <v>724</v>
      </c>
      <c r="E33" s="71">
        <f>'BODs Expenses'!S5+'BODs Expenses'!S6</f>
        <v>802</v>
      </c>
      <c r="F33" s="71">
        <f>'BODs Expenses'!S7+'BODs Expenses'!S8</f>
        <v>929</v>
      </c>
      <c r="G33" s="71"/>
      <c r="H33" s="71"/>
      <c r="I33" s="71">
        <f>'BODs Expenses'!S9+'BODs Expenses'!S10</f>
        <v>13310.75</v>
      </c>
      <c r="J33" s="166"/>
      <c r="K33" s="165"/>
      <c r="L33" s="165"/>
      <c r="M33" s="57">
        <f t="shared" si="6"/>
        <v>15765.75</v>
      </c>
    </row>
    <row r="34" spans="2:18" ht="14" thickBot="1" x14ac:dyDescent="0.2">
      <c r="B34" s="74" t="s">
        <v>6</v>
      </c>
      <c r="C34" s="72"/>
      <c r="D34" s="72"/>
      <c r="E34" s="72"/>
      <c r="F34" s="72"/>
      <c r="G34" s="72"/>
      <c r="H34" s="72"/>
      <c r="I34" s="72">
        <f>'BODs Expenses'!V3</f>
        <v>3569.75</v>
      </c>
      <c r="J34" s="170">
        <f>SUM('BODs Expenses'!V4:V7)</f>
        <v>3108.9575</v>
      </c>
      <c r="K34" s="225"/>
      <c r="L34" s="225"/>
      <c r="M34" s="174">
        <f t="shared" si="6"/>
        <v>6678.7075000000004</v>
      </c>
      <c r="Q34" s="77"/>
      <c r="R34" s="77"/>
    </row>
    <row r="35" spans="2:18" ht="16" x14ac:dyDescent="0.2">
      <c r="B35" s="49" t="s">
        <v>83</v>
      </c>
      <c r="C35" s="50">
        <f>SUM(C28:C34)</f>
        <v>3815.1625000000004</v>
      </c>
      <c r="D35" s="50">
        <f t="shared" ref="D35:L35" si="7">SUM(D28:D34)</f>
        <v>12854.5</v>
      </c>
      <c r="E35" s="50">
        <f t="shared" si="7"/>
        <v>1764</v>
      </c>
      <c r="F35" s="50">
        <f t="shared" si="7"/>
        <v>1330</v>
      </c>
      <c r="G35" s="50">
        <f t="shared" si="7"/>
        <v>15508.262499999999</v>
      </c>
      <c r="H35" s="50">
        <f t="shared" si="7"/>
        <v>22738.129999999997</v>
      </c>
      <c r="I35" s="50">
        <f t="shared" si="7"/>
        <v>20614</v>
      </c>
      <c r="J35" s="50">
        <f t="shared" si="7"/>
        <v>13352.667100000001</v>
      </c>
      <c r="K35" s="50">
        <f t="shared" si="7"/>
        <v>4810.32</v>
      </c>
      <c r="L35" s="50">
        <f t="shared" si="7"/>
        <v>1397.77</v>
      </c>
      <c r="M35" s="50">
        <f>SUM(M28:M34)</f>
        <v>98184.812099999996</v>
      </c>
    </row>
    <row r="36" spans="2:18" x14ac:dyDescent="0.15">
      <c r="M36" s="162">
        <f>SUM(C35:L35)</f>
        <v>98184.812099999996</v>
      </c>
    </row>
    <row r="37" spans="2:18" ht="16" x14ac:dyDescent="0.2">
      <c r="B37" s="49" t="s">
        <v>124</v>
      </c>
      <c r="C37" s="79"/>
    </row>
    <row r="38" spans="2:18" ht="16" x14ac:dyDescent="0.2">
      <c r="B38" s="49" t="s">
        <v>125</v>
      </c>
      <c r="C38" s="79"/>
      <c r="D38" s="79"/>
      <c r="E38" s="79"/>
    </row>
    <row r="39" spans="2:18" ht="16" x14ac:dyDescent="0.2">
      <c r="B39" s="49" t="s">
        <v>171</v>
      </c>
      <c r="C39" s="79"/>
      <c r="D39" s="79"/>
      <c r="E39" s="79"/>
      <c r="F39" s="80"/>
      <c r="G39" s="80"/>
      <c r="H39" s="80"/>
      <c r="I39" s="80"/>
      <c r="J39" s="80"/>
      <c r="K39" s="80"/>
      <c r="L39" s="80"/>
    </row>
    <row r="40" spans="2:18" ht="16" x14ac:dyDescent="0.2">
      <c r="B40" s="49" t="s">
        <v>214</v>
      </c>
      <c r="C40" s="79"/>
      <c r="D40" s="79"/>
      <c r="E40" s="79"/>
      <c r="F40" s="80"/>
      <c r="G40" s="80"/>
      <c r="H40" s="80"/>
      <c r="I40" s="80"/>
      <c r="J40" s="80"/>
      <c r="K40" s="80"/>
      <c r="L40" s="80"/>
    </row>
    <row r="41" spans="2:18" ht="16" x14ac:dyDescent="0.2">
      <c r="B41" s="221" t="s">
        <v>213</v>
      </c>
      <c r="C41" s="222"/>
      <c r="D41" s="222"/>
      <c r="E41" s="79"/>
      <c r="F41" s="80"/>
      <c r="G41" s="80"/>
      <c r="H41" s="80"/>
      <c r="I41" s="80"/>
      <c r="J41" s="80"/>
      <c r="K41" s="80"/>
      <c r="L41" s="80"/>
    </row>
    <row r="42" spans="2:18" ht="16" x14ac:dyDescent="0.2">
      <c r="B42" s="49" t="s">
        <v>192</v>
      </c>
      <c r="C42" s="79"/>
      <c r="D42" s="79"/>
      <c r="E42" s="79"/>
      <c r="F42" s="80"/>
      <c r="G42" s="80"/>
      <c r="H42" s="80"/>
      <c r="I42" s="80"/>
      <c r="J42" s="80"/>
      <c r="K42" s="80"/>
      <c r="L42" s="80"/>
    </row>
    <row r="43" spans="2:18" ht="16" x14ac:dyDescent="0.2">
      <c r="B43" s="49" t="s">
        <v>166</v>
      </c>
      <c r="C43" s="79"/>
      <c r="D43" s="79"/>
      <c r="E43" s="79"/>
      <c r="F43" s="80"/>
      <c r="G43" s="80"/>
      <c r="H43" s="80"/>
      <c r="I43" s="80"/>
      <c r="J43" s="80"/>
      <c r="K43" s="80"/>
      <c r="L43" s="80"/>
    </row>
    <row r="44" spans="2:18" ht="16" x14ac:dyDescent="0.2">
      <c r="B44" s="210" t="s">
        <v>172</v>
      </c>
      <c r="C44" s="80"/>
      <c r="D44" s="79"/>
      <c r="E44" s="79"/>
      <c r="F44" s="80"/>
      <c r="G44" s="80"/>
      <c r="H44" s="80"/>
      <c r="I44" s="80"/>
      <c r="J44" s="80"/>
      <c r="K44" s="80"/>
      <c r="L44" s="80"/>
    </row>
    <row r="45" spans="2:18" ht="16" x14ac:dyDescent="0.2">
      <c r="B45" s="49" t="s">
        <v>193</v>
      </c>
      <c r="C45" s="175"/>
      <c r="D45" s="80"/>
      <c r="E45" s="80"/>
      <c r="F45" s="80"/>
      <c r="G45" s="80"/>
      <c r="H45" s="80"/>
      <c r="I45" s="80"/>
      <c r="J45" s="80"/>
      <c r="K45" s="80"/>
      <c r="L45" s="80"/>
    </row>
    <row r="46" spans="2:18" ht="16" x14ac:dyDescent="0.2">
      <c r="B46" s="70" t="s">
        <v>200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</row>
    <row r="47" spans="2:18" ht="16" x14ac:dyDescent="0.2">
      <c r="B47" s="219" t="s">
        <v>202</v>
      </c>
      <c r="C47" s="227"/>
      <c r="D47" s="228"/>
      <c r="E47" s="220">
        <v>20000</v>
      </c>
    </row>
  </sheetData>
  <pageMargins left="0.7" right="0.7" top="0.75" bottom="0.75" header="0.3" footer="0.3"/>
  <pageSetup paperSize="9" scale="76" orientation="landscape" r:id="rId1"/>
  <ignoredErrors>
    <ignoredError sqref="C12:D12 E12:I12 C21:H21 I19:I20 J31 K12:L12 K3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theme="9" tint="-0.249977111117893"/>
    <pageSetUpPr fitToPage="1"/>
  </sheetPr>
  <dimension ref="A1:D108"/>
  <sheetViews>
    <sheetView showGridLines="0" workbookViewId="0">
      <selection activeCell="D33" sqref="D33"/>
    </sheetView>
  </sheetViews>
  <sheetFormatPr baseColWidth="10" defaultColWidth="8.83203125" defaultRowHeight="15" x14ac:dyDescent="0.2"/>
  <cols>
    <col min="1" max="1" width="14.83203125" style="262" bestFit="1" customWidth="1"/>
    <col min="2" max="3" width="16.5" style="206" bestFit="1" customWidth="1"/>
    <col min="4" max="4" width="52.5" style="182" bestFit="1" customWidth="1"/>
    <col min="5" max="16384" width="8.83203125" style="35"/>
  </cols>
  <sheetData>
    <row r="1" spans="1:4" s="363" customFormat="1" ht="16" thickBot="1" x14ac:dyDescent="0.25">
      <c r="A1" s="369" t="s">
        <v>0</v>
      </c>
      <c r="B1" s="371" t="s">
        <v>1</v>
      </c>
      <c r="C1" s="371" t="s">
        <v>2</v>
      </c>
      <c r="D1" s="370" t="s">
        <v>3</v>
      </c>
    </row>
    <row r="2" spans="1:4" s="364" customFormat="1" ht="16" thickTop="1" x14ac:dyDescent="0.2">
      <c r="A2" s="367">
        <v>42076</v>
      </c>
      <c r="B2" s="372"/>
      <c r="C2" s="372">
        <v>140000</v>
      </c>
      <c r="D2" s="368" t="s">
        <v>298</v>
      </c>
    </row>
    <row r="3" spans="1:4" s="364" customFormat="1" x14ac:dyDescent="0.2">
      <c r="A3" s="324">
        <v>42078</v>
      </c>
      <c r="B3" s="373"/>
      <c r="C3" s="373">
        <v>150000</v>
      </c>
      <c r="D3" s="326" t="s">
        <v>299</v>
      </c>
    </row>
    <row r="4" spans="1:4" s="364" customFormat="1" x14ac:dyDescent="0.2">
      <c r="A4" s="324">
        <v>42079</v>
      </c>
      <c r="B4" s="373"/>
      <c r="C4" s="373">
        <v>140000</v>
      </c>
      <c r="D4" s="326" t="s">
        <v>300</v>
      </c>
    </row>
    <row r="5" spans="1:4" s="364" customFormat="1" x14ac:dyDescent="0.2">
      <c r="A5" s="324">
        <v>42080</v>
      </c>
      <c r="B5" s="373"/>
      <c r="C5" s="373">
        <v>140000</v>
      </c>
      <c r="D5" s="326" t="s">
        <v>301</v>
      </c>
    </row>
    <row r="6" spans="1:4" s="364" customFormat="1" x14ac:dyDescent="0.2">
      <c r="A6" s="324">
        <v>42080</v>
      </c>
      <c r="B6" s="373"/>
      <c r="C6" s="373">
        <v>140000</v>
      </c>
      <c r="D6" s="326" t="s">
        <v>302</v>
      </c>
    </row>
    <row r="7" spans="1:4" s="364" customFormat="1" x14ac:dyDescent="0.2">
      <c r="A7" s="324">
        <v>42086</v>
      </c>
      <c r="B7" s="373"/>
      <c r="C7" s="373">
        <v>140000</v>
      </c>
      <c r="D7" s="326" t="s">
        <v>303</v>
      </c>
    </row>
    <row r="8" spans="1:4" s="364" customFormat="1" x14ac:dyDescent="0.2">
      <c r="A8" s="324">
        <v>42089</v>
      </c>
      <c r="B8" s="373"/>
      <c r="C8" s="373">
        <v>150000</v>
      </c>
      <c r="D8" s="326" t="s">
        <v>304</v>
      </c>
    </row>
    <row r="9" spans="1:4" s="364" customFormat="1" x14ac:dyDescent="0.2">
      <c r="A9" s="324">
        <v>42100</v>
      </c>
      <c r="B9" s="373"/>
      <c r="C9" s="373">
        <v>50000</v>
      </c>
      <c r="D9" s="326" t="s">
        <v>298</v>
      </c>
    </row>
    <row r="10" spans="1:4" s="364" customFormat="1" x14ac:dyDescent="0.2">
      <c r="A10" s="324">
        <v>42101</v>
      </c>
      <c r="B10" s="373"/>
      <c r="C10" s="373">
        <v>50000</v>
      </c>
      <c r="D10" s="326" t="s">
        <v>298</v>
      </c>
    </row>
    <row r="11" spans="1:4" s="364" customFormat="1" x14ac:dyDescent="0.2">
      <c r="A11" s="324">
        <v>42102</v>
      </c>
      <c r="B11" s="373"/>
      <c r="C11" s="373">
        <v>50000</v>
      </c>
      <c r="D11" s="326" t="s">
        <v>304</v>
      </c>
    </row>
    <row r="12" spans="1:4" s="364" customFormat="1" x14ac:dyDescent="0.2">
      <c r="A12" s="324">
        <v>42102</v>
      </c>
      <c r="B12" s="373"/>
      <c r="C12" s="373">
        <v>40000</v>
      </c>
      <c r="D12" s="326" t="s">
        <v>298</v>
      </c>
    </row>
    <row r="13" spans="1:4" s="364" customFormat="1" x14ac:dyDescent="0.2">
      <c r="A13" s="324">
        <v>42103</v>
      </c>
      <c r="B13" s="373"/>
      <c r="C13" s="373">
        <v>100000</v>
      </c>
      <c r="D13" s="326" t="s">
        <v>299</v>
      </c>
    </row>
    <row r="14" spans="1:4" s="364" customFormat="1" x14ac:dyDescent="0.2">
      <c r="A14" s="349">
        <v>42104</v>
      </c>
      <c r="B14" s="374"/>
      <c r="C14" s="374">
        <v>100000</v>
      </c>
      <c r="D14" s="350" t="s">
        <v>305</v>
      </c>
    </row>
    <row r="15" spans="1:4" s="364" customFormat="1" x14ac:dyDescent="0.2">
      <c r="A15" s="349">
        <v>42104</v>
      </c>
      <c r="B15" s="374"/>
      <c r="C15" s="374">
        <v>100000</v>
      </c>
      <c r="D15" s="350" t="s">
        <v>306</v>
      </c>
    </row>
    <row r="16" spans="1:4" s="364" customFormat="1" x14ac:dyDescent="0.2">
      <c r="A16" s="324">
        <v>42104</v>
      </c>
      <c r="B16" s="373"/>
      <c r="C16" s="373">
        <v>85000</v>
      </c>
      <c r="D16" s="326" t="s">
        <v>302</v>
      </c>
    </row>
    <row r="17" spans="1:4" s="364" customFormat="1" x14ac:dyDescent="0.2">
      <c r="A17" s="349">
        <v>42104</v>
      </c>
      <c r="B17" s="374"/>
      <c r="C17" s="374">
        <v>1000</v>
      </c>
      <c r="D17" s="350" t="s">
        <v>307</v>
      </c>
    </row>
    <row r="18" spans="1:4" s="364" customFormat="1" x14ac:dyDescent="0.2">
      <c r="A18" s="349">
        <v>42107</v>
      </c>
      <c r="B18" s="374"/>
      <c r="C18" s="374">
        <v>140000</v>
      </c>
      <c r="D18" s="350" t="s">
        <v>308</v>
      </c>
    </row>
    <row r="19" spans="1:4" s="364" customFormat="1" x14ac:dyDescent="0.2">
      <c r="A19" s="349">
        <v>42107</v>
      </c>
      <c r="B19" s="374"/>
      <c r="C19" s="374">
        <v>143000</v>
      </c>
      <c r="D19" s="350" t="s">
        <v>309</v>
      </c>
    </row>
    <row r="20" spans="1:4" s="364" customFormat="1" x14ac:dyDescent="0.2">
      <c r="A20" s="349">
        <v>42107</v>
      </c>
      <c r="B20" s="374"/>
      <c r="C20" s="374">
        <v>50000</v>
      </c>
      <c r="D20" s="350" t="s">
        <v>310</v>
      </c>
    </row>
    <row r="21" spans="1:4" s="364" customFormat="1" x14ac:dyDescent="0.2">
      <c r="A21" s="349">
        <v>42107</v>
      </c>
      <c r="B21" s="374"/>
      <c r="C21" s="374">
        <v>149000</v>
      </c>
      <c r="D21" s="350" t="s">
        <v>307</v>
      </c>
    </row>
    <row r="22" spans="1:4" x14ac:dyDescent="0.2">
      <c r="A22" s="327">
        <v>42107</v>
      </c>
      <c r="B22" s="375">
        <v>650000</v>
      </c>
      <c r="C22" s="375"/>
      <c r="D22" s="328" t="s">
        <v>313</v>
      </c>
    </row>
    <row r="23" spans="1:4" x14ac:dyDescent="0.2">
      <c r="A23" s="327">
        <v>42107</v>
      </c>
      <c r="B23" s="375">
        <v>54000</v>
      </c>
      <c r="C23" s="375"/>
      <c r="D23" s="328" t="s">
        <v>314</v>
      </c>
    </row>
    <row r="24" spans="1:4" s="364" customFormat="1" x14ac:dyDescent="0.2">
      <c r="A24" s="324">
        <v>42123</v>
      </c>
      <c r="B24" s="373"/>
      <c r="C24" s="373">
        <v>35000</v>
      </c>
      <c r="D24" s="326" t="s">
        <v>298</v>
      </c>
    </row>
    <row r="25" spans="1:4" s="364" customFormat="1" x14ac:dyDescent="0.2">
      <c r="A25" s="324">
        <v>42124</v>
      </c>
      <c r="B25" s="373"/>
      <c r="C25" s="373">
        <v>50000</v>
      </c>
      <c r="D25" s="326" t="s">
        <v>298</v>
      </c>
    </row>
    <row r="26" spans="1:4" s="364" customFormat="1" x14ac:dyDescent="0.2">
      <c r="A26" s="354">
        <v>42179</v>
      </c>
      <c r="B26" s="376">
        <v>2000</v>
      </c>
      <c r="C26" s="376"/>
      <c r="D26" s="355" t="s">
        <v>27</v>
      </c>
    </row>
    <row r="27" spans="1:4" s="364" customFormat="1" x14ac:dyDescent="0.2">
      <c r="A27" s="358">
        <v>42187</v>
      </c>
      <c r="B27" s="376">
        <v>8000</v>
      </c>
      <c r="C27" s="376"/>
      <c r="D27" s="359" t="s">
        <v>27</v>
      </c>
    </row>
    <row r="28" spans="1:4" s="364" customFormat="1" x14ac:dyDescent="0.2">
      <c r="A28" s="324">
        <v>42206</v>
      </c>
      <c r="B28" s="373"/>
      <c r="C28" s="373">
        <v>100000</v>
      </c>
      <c r="D28" s="325" t="s">
        <v>301</v>
      </c>
    </row>
    <row r="29" spans="1:4" s="364" customFormat="1" x14ac:dyDescent="0.2">
      <c r="A29" s="319">
        <v>42216</v>
      </c>
      <c r="B29" s="377">
        <v>276</v>
      </c>
      <c r="C29" s="377"/>
      <c r="D29" s="320" t="s">
        <v>318</v>
      </c>
    </row>
    <row r="30" spans="1:4" s="364" customFormat="1" x14ac:dyDescent="0.2">
      <c r="A30" s="354">
        <v>42219</v>
      </c>
      <c r="B30" s="376">
        <v>350000</v>
      </c>
      <c r="C30" s="376"/>
      <c r="D30" s="355" t="s">
        <v>27</v>
      </c>
    </row>
    <row r="31" spans="1:4" s="364" customFormat="1" x14ac:dyDescent="0.2">
      <c r="A31" s="351">
        <v>42226</v>
      </c>
      <c r="B31" s="378"/>
      <c r="C31" s="378">
        <v>99750</v>
      </c>
      <c r="D31" s="352" t="s">
        <v>311</v>
      </c>
    </row>
    <row r="32" spans="1:4" s="364" customFormat="1" x14ac:dyDescent="0.2">
      <c r="A32" s="351">
        <v>42229</v>
      </c>
      <c r="B32" s="378"/>
      <c r="C32" s="378">
        <v>243500</v>
      </c>
      <c r="D32" s="352" t="s">
        <v>312</v>
      </c>
    </row>
    <row r="33" spans="1:4" s="364" customFormat="1" x14ac:dyDescent="0.2">
      <c r="A33" s="31">
        <v>42229</v>
      </c>
      <c r="B33" s="208">
        <v>345000</v>
      </c>
      <c r="C33" s="208"/>
      <c r="D33" s="315" t="s">
        <v>38</v>
      </c>
    </row>
    <row r="34" spans="1:4" s="364" customFormat="1" x14ac:dyDescent="0.2">
      <c r="A34" s="319">
        <v>42233</v>
      </c>
      <c r="B34" s="377">
        <v>10000</v>
      </c>
      <c r="C34" s="377"/>
      <c r="D34" s="320" t="s">
        <v>39</v>
      </c>
    </row>
    <row r="35" spans="1:4" s="364" customFormat="1" x14ac:dyDescent="0.2">
      <c r="A35" s="324">
        <v>42234</v>
      </c>
      <c r="B35" s="373"/>
      <c r="C35" s="373">
        <v>237000</v>
      </c>
      <c r="D35" s="325" t="s">
        <v>299</v>
      </c>
    </row>
    <row r="36" spans="1:4" s="364" customFormat="1" x14ac:dyDescent="0.2">
      <c r="A36" s="319">
        <v>42240</v>
      </c>
      <c r="B36" s="377">
        <v>10000</v>
      </c>
      <c r="C36" s="377"/>
      <c r="D36" s="320" t="s">
        <v>39</v>
      </c>
    </row>
    <row r="37" spans="1:4" s="364" customFormat="1" x14ac:dyDescent="0.2">
      <c r="A37" s="319">
        <v>42247</v>
      </c>
      <c r="B37" s="377">
        <v>10000</v>
      </c>
      <c r="C37" s="377"/>
      <c r="D37" s="320" t="s">
        <v>39</v>
      </c>
    </row>
    <row r="38" spans="1:4" s="364" customFormat="1" x14ac:dyDescent="0.2">
      <c r="A38" s="319">
        <v>42256</v>
      </c>
      <c r="B38" s="377">
        <v>10000</v>
      </c>
      <c r="C38" s="377"/>
      <c r="D38" s="320" t="s">
        <v>39</v>
      </c>
    </row>
    <row r="39" spans="1:4" s="364" customFormat="1" x14ac:dyDescent="0.2">
      <c r="A39" s="319">
        <v>42262</v>
      </c>
      <c r="B39" s="377">
        <v>10000</v>
      </c>
      <c r="C39" s="377"/>
      <c r="D39" s="320" t="s">
        <v>39</v>
      </c>
    </row>
    <row r="40" spans="1:4" s="364" customFormat="1" x14ac:dyDescent="0.2">
      <c r="A40" s="319">
        <v>42263</v>
      </c>
      <c r="B40" s="377">
        <v>10000</v>
      </c>
      <c r="C40" s="377"/>
      <c r="D40" s="320" t="s">
        <v>39</v>
      </c>
    </row>
    <row r="41" spans="1:4" s="364" customFormat="1" x14ac:dyDescent="0.2">
      <c r="A41" s="319">
        <v>42264</v>
      </c>
      <c r="B41" s="377">
        <v>10000</v>
      </c>
      <c r="C41" s="377"/>
      <c r="D41" s="320" t="s">
        <v>39</v>
      </c>
    </row>
    <row r="42" spans="1:4" s="364" customFormat="1" x14ac:dyDescent="0.2">
      <c r="A42" s="354">
        <v>42265</v>
      </c>
      <c r="B42" s="376">
        <v>150000</v>
      </c>
      <c r="C42" s="376"/>
      <c r="D42" s="355" t="s">
        <v>27</v>
      </c>
    </row>
    <row r="43" spans="1:4" s="364" customFormat="1" x14ac:dyDescent="0.2">
      <c r="A43" s="319">
        <v>42265</v>
      </c>
      <c r="B43" s="377">
        <v>10000</v>
      </c>
      <c r="C43" s="377"/>
      <c r="D43" s="320" t="s">
        <v>39</v>
      </c>
    </row>
    <row r="44" spans="1:4" s="364" customFormat="1" x14ac:dyDescent="0.2">
      <c r="A44" s="319">
        <v>42266</v>
      </c>
      <c r="B44" s="377">
        <v>10000</v>
      </c>
      <c r="C44" s="377"/>
      <c r="D44" s="320" t="s">
        <v>39</v>
      </c>
    </row>
    <row r="45" spans="1:4" s="364" customFormat="1" x14ac:dyDescent="0.2">
      <c r="A45" s="354">
        <v>42268</v>
      </c>
      <c r="B45" s="376">
        <v>100000</v>
      </c>
      <c r="C45" s="376"/>
      <c r="D45" s="355" t="s">
        <v>27</v>
      </c>
    </row>
    <row r="46" spans="1:4" s="364" customFormat="1" x14ac:dyDescent="0.2">
      <c r="A46" s="319">
        <v>42268</v>
      </c>
      <c r="B46" s="377">
        <v>10000</v>
      </c>
      <c r="C46" s="377"/>
      <c r="D46" s="320" t="s">
        <v>39</v>
      </c>
    </row>
    <row r="47" spans="1:4" s="364" customFormat="1" x14ac:dyDescent="0.2">
      <c r="A47" s="319">
        <v>42269</v>
      </c>
      <c r="B47" s="321">
        <v>10000</v>
      </c>
      <c r="C47" s="377"/>
      <c r="D47" s="320" t="s">
        <v>39</v>
      </c>
    </row>
    <row r="48" spans="1:4" s="364" customFormat="1" x14ac:dyDescent="0.2">
      <c r="A48" s="319">
        <v>42270</v>
      </c>
      <c r="B48" s="321">
        <v>10000</v>
      </c>
      <c r="C48" s="377"/>
      <c r="D48" s="320" t="s">
        <v>39</v>
      </c>
    </row>
    <row r="49" spans="1:4" s="364" customFormat="1" x14ac:dyDescent="0.2">
      <c r="A49" s="319">
        <v>42271</v>
      </c>
      <c r="B49" s="321">
        <v>10000</v>
      </c>
      <c r="C49" s="377"/>
      <c r="D49" s="320" t="s">
        <v>39</v>
      </c>
    </row>
    <row r="50" spans="1:4" s="364" customFormat="1" x14ac:dyDescent="0.2">
      <c r="A50" s="319">
        <v>42272</v>
      </c>
      <c r="B50" s="321">
        <v>10000</v>
      </c>
      <c r="C50" s="377"/>
      <c r="D50" s="320" t="s">
        <v>39</v>
      </c>
    </row>
    <row r="51" spans="1:4" s="364" customFormat="1" x14ac:dyDescent="0.2">
      <c r="A51" s="356">
        <v>42272</v>
      </c>
      <c r="B51" s="357">
        <v>100000</v>
      </c>
      <c r="C51" s="376"/>
      <c r="D51" s="355" t="s">
        <v>27</v>
      </c>
    </row>
    <row r="52" spans="1:4" s="364" customFormat="1" x14ac:dyDescent="0.2">
      <c r="A52" s="319">
        <v>42275</v>
      </c>
      <c r="B52" s="321">
        <v>10000</v>
      </c>
      <c r="C52" s="377"/>
      <c r="D52" s="320" t="s">
        <v>39</v>
      </c>
    </row>
    <row r="53" spans="1:4" s="364" customFormat="1" x14ac:dyDescent="0.2">
      <c r="A53" s="356">
        <v>42275</v>
      </c>
      <c r="B53" s="357">
        <v>100000</v>
      </c>
      <c r="C53" s="376"/>
      <c r="D53" s="355" t="s">
        <v>27</v>
      </c>
    </row>
    <row r="54" spans="1:4" s="364" customFormat="1" x14ac:dyDescent="0.2">
      <c r="A54" s="319">
        <v>42277</v>
      </c>
      <c r="B54" s="321">
        <v>10000</v>
      </c>
      <c r="C54" s="377"/>
      <c r="D54" s="320" t="s">
        <v>39</v>
      </c>
    </row>
    <row r="55" spans="1:4" s="364" customFormat="1" x14ac:dyDescent="0.2">
      <c r="A55" s="356">
        <v>42278</v>
      </c>
      <c r="B55" s="357">
        <v>100000</v>
      </c>
      <c r="C55" s="376"/>
      <c r="D55" s="355" t="s">
        <v>27</v>
      </c>
    </row>
    <row r="56" spans="1:4" s="364" customFormat="1" x14ac:dyDescent="0.2">
      <c r="A56" s="356">
        <v>42279</v>
      </c>
      <c r="B56" s="357">
        <v>150200</v>
      </c>
      <c r="C56" s="376"/>
      <c r="D56" s="355" t="s">
        <v>316</v>
      </c>
    </row>
    <row r="57" spans="1:4" s="364" customFormat="1" x14ac:dyDescent="0.2">
      <c r="A57" s="356">
        <v>42279</v>
      </c>
      <c r="B57" s="357">
        <v>49800</v>
      </c>
      <c r="C57" s="376"/>
      <c r="D57" s="355" t="s">
        <v>27</v>
      </c>
    </row>
    <row r="58" spans="1:4" s="364" customFormat="1" x14ac:dyDescent="0.2">
      <c r="A58" s="365">
        <v>42279</v>
      </c>
      <c r="B58" s="373"/>
      <c r="C58" s="373">
        <v>100000</v>
      </c>
      <c r="D58" s="325" t="s">
        <v>301</v>
      </c>
    </row>
    <row r="59" spans="1:4" s="364" customFormat="1" x14ac:dyDescent="0.2">
      <c r="A59" s="365">
        <v>42279</v>
      </c>
      <c r="B59" s="373"/>
      <c r="C59" s="373">
        <v>200000</v>
      </c>
      <c r="D59" s="325" t="s">
        <v>303</v>
      </c>
    </row>
    <row r="60" spans="1:4" s="364" customFormat="1" x14ac:dyDescent="0.2">
      <c r="A60" s="365">
        <v>42279</v>
      </c>
      <c r="B60" s="373"/>
      <c r="C60" s="373">
        <v>195234</v>
      </c>
      <c r="D60" s="325" t="s">
        <v>300</v>
      </c>
    </row>
    <row r="61" spans="1:4" s="364" customFormat="1" x14ac:dyDescent="0.2">
      <c r="A61" s="356">
        <v>42282</v>
      </c>
      <c r="B61" s="357">
        <v>100000</v>
      </c>
      <c r="C61" s="376"/>
      <c r="D61" s="355" t="s">
        <v>27</v>
      </c>
    </row>
    <row r="62" spans="1:4" s="364" customFormat="1" x14ac:dyDescent="0.2">
      <c r="A62" s="365">
        <v>42282</v>
      </c>
      <c r="B62" s="373"/>
      <c r="C62" s="373">
        <v>34553</v>
      </c>
      <c r="D62" s="325" t="s">
        <v>302</v>
      </c>
    </row>
    <row r="63" spans="1:4" s="364" customFormat="1" x14ac:dyDescent="0.2">
      <c r="A63" s="319">
        <v>42284</v>
      </c>
      <c r="B63" s="377">
        <v>20000</v>
      </c>
      <c r="C63" s="377"/>
      <c r="D63" s="320" t="s">
        <v>39</v>
      </c>
    </row>
    <row r="64" spans="1:4" s="364" customFormat="1" x14ac:dyDescent="0.2">
      <c r="A64" s="353">
        <v>42286</v>
      </c>
      <c r="B64" s="377">
        <v>40000</v>
      </c>
      <c r="C64" s="377"/>
      <c r="D64" s="320" t="s">
        <v>39</v>
      </c>
    </row>
    <row r="65" spans="1:4" s="364" customFormat="1" x14ac:dyDescent="0.2">
      <c r="A65" s="354">
        <v>42290</v>
      </c>
      <c r="B65" s="376">
        <v>200000</v>
      </c>
      <c r="C65" s="376"/>
      <c r="D65" s="355" t="s">
        <v>27</v>
      </c>
    </row>
    <row r="66" spans="1:4" x14ac:dyDescent="0.2">
      <c r="A66" s="329">
        <v>42292</v>
      </c>
      <c r="B66" s="375">
        <v>46000</v>
      </c>
      <c r="C66" s="375"/>
      <c r="D66" s="330" t="s">
        <v>315</v>
      </c>
    </row>
    <row r="67" spans="1:4" s="364" customFormat="1" x14ac:dyDescent="0.2">
      <c r="A67" s="319">
        <v>42296</v>
      </c>
      <c r="B67" s="377">
        <v>20000</v>
      </c>
      <c r="C67" s="377"/>
      <c r="D67" s="320" t="s">
        <v>39</v>
      </c>
    </row>
    <row r="68" spans="1:4" s="364" customFormat="1" x14ac:dyDescent="0.2">
      <c r="A68" s="319">
        <v>42299</v>
      </c>
      <c r="B68" s="377">
        <v>20000</v>
      </c>
      <c r="C68" s="377"/>
      <c r="D68" s="320" t="s">
        <v>39</v>
      </c>
    </row>
    <row r="69" spans="1:4" s="364" customFormat="1" x14ac:dyDescent="0.2">
      <c r="A69" s="354">
        <v>42300</v>
      </c>
      <c r="B69" s="376">
        <v>50000</v>
      </c>
      <c r="C69" s="376"/>
      <c r="D69" s="355" t="s">
        <v>27</v>
      </c>
    </row>
    <row r="70" spans="1:4" s="364" customFormat="1" x14ac:dyDescent="0.2">
      <c r="A70" s="324">
        <v>42306</v>
      </c>
      <c r="B70" s="373"/>
      <c r="C70" s="373">
        <v>30000</v>
      </c>
      <c r="D70" s="325" t="s">
        <v>301</v>
      </c>
    </row>
    <row r="71" spans="1:4" s="364" customFormat="1" x14ac:dyDescent="0.2">
      <c r="A71" s="324">
        <v>42306</v>
      </c>
      <c r="B71" s="373"/>
      <c r="C71" s="373">
        <v>15011</v>
      </c>
      <c r="D71" s="325" t="s">
        <v>301</v>
      </c>
    </row>
    <row r="72" spans="1:4" s="364" customFormat="1" x14ac:dyDescent="0.2">
      <c r="A72" s="354">
        <v>42307</v>
      </c>
      <c r="B72" s="376">
        <v>50000</v>
      </c>
      <c r="C72" s="376"/>
      <c r="D72" s="355" t="s">
        <v>27</v>
      </c>
    </row>
    <row r="73" spans="1:4" s="364" customFormat="1" x14ac:dyDescent="0.2">
      <c r="A73" s="324">
        <v>42308</v>
      </c>
      <c r="B73" s="347"/>
      <c r="C73" s="373">
        <v>28000</v>
      </c>
      <c r="D73" s="325" t="s">
        <v>298</v>
      </c>
    </row>
    <row r="74" spans="1:4" s="364" customFormat="1" x14ac:dyDescent="0.2">
      <c r="A74" s="319">
        <v>42311</v>
      </c>
      <c r="B74" s="321">
        <v>30000</v>
      </c>
      <c r="C74" s="377"/>
      <c r="D74" s="320" t="s">
        <v>39</v>
      </c>
    </row>
    <row r="75" spans="1:4" s="364" customFormat="1" x14ac:dyDescent="0.2">
      <c r="A75" s="354">
        <v>42312</v>
      </c>
      <c r="B75" s="376">
        <v>15000</v>
      </c>
      <c r="C75" s="376"/>
      <c r="D75" s="355" t="s">
        <v>27</v>
      </c>
    </row>
    <row r="76" spans="1:4" s="364" customFormat="1" x14ac:dyDescent="0.2">
      <c r="A76" s="324">
        <v>42315</v>
      </c>
      <c r="B76" s="347"/>
      <c r="C76" s="373">
        <v>18000</v>
      </c>
      <c r="D76" s="325" t="s">
        <v>302</v>
      </c>
    </row>
    <row r="77" spans="1:4" s="364" customFormat="1" x14ac:dyDescent="0.2">
      <c r="A77" s="319">
        <v>42318</v>
      </c>
      <c r="B77" s="321">
        <v>20000</v>
      </c>
      <c r="C77" s="377"/>
      <c r="D77" s="320" t="s">
        <v>39</v>
      </c>
    </row>
    <row r="78" spans="1:4" s="364" customFormat="1" x14ac:dyDescent="0.2">
      <c r="A78" s="324">
        <v>42323</v>
      </c>
      <c r="B78" s="347"/>
      <c r="C78" s="373">
        <v>34783</v>
      </c>
      <c r="D78" s="325" t="s">
        <v>299</v>
      </c>
    </row>
    <row r="79" spans="1:4" s="364" customFormat="1" x14ac:dyDescent="0.2">
      <c r="A79" s="319">
        <v>42324</v>
      </c>
      <c r="B79" s="321">
        <v>20000</v>
      </c>
      <c r="C79" s="377"/>
      <c r="D79" s="320" t="s">
        <v>39</v>
      </c>
    </row>
    <row r="80" spans="1:4" s="364" customFormat="1" x14ac:dyDescent="0.2">
      <c r="A80" s="354">
        <v>42327</v>
      </c>
      <c r="B80" s="376">
        <v>103930</v>
      </c>
      <c r="C80" s="376"/>
      <c r="D80" s="355" t="s">
        <v>27</v>
      </c>
    </row>
    <row r="81" spans="1:4" s="364" customFormat="1" x14ac:dyDescent="0.2">
      <c r="A81" s="319">
        <v>42331</v>
      </c>
      <c r="B81" s="321">
        <v>10000</v>
      </c>
      <c r="C81" s="377"/>
      <c r="D81" s="320" t="s">
        <v>39</v>
      </c>
    </row>
    <row r="82" spans="1:4" s="364" customFormat="1" x14ac:dyDescent="0.2">
      <c r="A82" s="319">
        <v>42336</v>
      </c>
      <c r="B82" s="321">
        <v>49717.95</v>
      </c>
      <c r="C82" s="377"/>
      <c r="D82" s="320" t="s">
        <v>293</v>
      </c>
    </row>
    <row r="83" spans="1:4" s="364" customFormat="1" x14ac:dyDescent="0.2">
      <c r="A83" s="319">
        <v>42338</v>
      </c>
      <c r="B83" s="321">
        <v>10000</v>
      </c>
      <c r="C83" s="377"/>
      <c r="D83" s="320" t="s">
        <v>294</v>
      </c>
    </row>
    <row r="84" spans="1:4" s="364" customFormat="1" x14ac:dyDescent="0.2">
      <c r="A84" s="322">
        <v>42338</v>
      </c>
      <c r="B84" s="348"/>
      <c r="C84" s="379">
        <v>169932</v>
      </c>
      <c r="D84" s="323" t="s">
        <v>296</v>
      </c>
    </row>
    <row r="85" spans="1:4" s="364" customFormat="1" x14ac:dyDescent="0.2">
      <c r="A85" s="324">
        <v>42339</v>
      </c>
      <c r="B85" s="347"/>
      <c r="C85" s="373">
        <v>34000</v>
      </c>
      <c r="D85" s="325" t="s">
        <v>304</v>
      </c>
    </row>
    <row r="86" spans="1:4" s="364" customFormat="1" x14ac:dyDescent="0.2">
      <c r="A86" s="324">
        <v>42339</v>
      </c>
      <c r="B86" s="347"/>
      <c r="C86" s="373">
        <v>28000</v>
      </c>
      <c r="D86" s="325" t="s">
        <v>301</v>
      </c>
    </row>
    <row r="87" spans="1:4" s="364" customFormat="1" x14ac:dyDescent="0.2">
      <c r="A87" s="324">
        <v>42339</v>
      </c>
      <c r="B87" s="347"/>
      <c r="C87" s="373">
        <v>37425</v>
      </c>
      <c r="D87" s="325" t="s">
        <v>303</v>
      </c>
    </row>
    <row r="88" spans="1:4" s="364" customFormat="1" x14ac:dyDescent="0.2">
      <c r="A88" s="324">
        <v>42339</v>
      </c>
      <c r="B88" s="347"/>
      <c r="C88" s="373">
        <v>28000</v>
      </c>
      <c r="D88" s="325" t="s">
        <v>300</v>
      </c>
    </row>
    <row r="89" spans="1:4" s="364" customFormat="1" x14ac:dyDescent="0.2">
      <c r="A89" s="319">
        <v>42342</v>
      </c>
      <c r="B89" s="321">
        <v>60000</v>
      </c>
      <c r="C89" s="377"/>
      <c r="D89" s="320" t="s">
        <v>295</v>
      </c>
    </row>
    <row r="90" spans="1:4" x14ac:dyDescent="0.2">
      <c r="A90" s="329">
        <v>42344</v>
      </c>
      <c r="B90" s="331">
        <v>203749</v>
      </c>
      <c r="C90" s="375"/>
      <c r="D90" s="330" t="s">
        <v>288</v>
      </c>
    </row>
    <row r="91" spans="1:4" s="364" customFormat="1" x14ac:dyDescent="0.2">
      <c r="A91" s="329">
        <v>42347</v>
      </c>
      <c r="B91" s="331">
        <v>24450</v>
      </c>
      <c r="C91" s="375"/>
      <c r="D91" s="330" t="s">
        <v>289</v>
      </c>
    </row>
    <row r="92" spans="1:4" x14ac:dyDescent="0.2">
      <c r="A92" s="329">
        <v>42349</v>
      </c>
      <c r="B92" s="331">
        <v>89999.88</v>
      </c>
      <c r="C92" s="375"/>
      <c r="D92" s="330" t="s">
        <v>290</v>
      </c>
    </row>
    <row r="93" spans="1:4" x14ac:dyDescent="0.2">
      <c r="A93" s="329">
        <v>42349</v>
      </c>
      <c r="B93" s="331">
        <v>17595.2</v>
      </c>
      <c r="C93" s="375"/>
      <c r="D93" s="330" t="s">
        <v>291</v>
      </c>
    </row>
    <row r="94" spans="1:4" x14ac:dyDescent="0.2">
      <c r="A94" s="329">
        <v>42349</v>
      </c>
      <c r="B94" s="331">
        <v>694.4</v>
      </c>
      <c r="C94" s="375"/>
      <c r="D94" s="330" t="s">
        <v>292</v>
      </c>
    </row>
    <row r="95" spans="1:4" s="364" customFormat="1" x14ac:dyDescent="0.2">
      <c r="A95" s="322">
        <v>42349</v>
      </c>
      <c r="B95" s="348"/>
      <c r="C95" s="379">
        <v>61786</v>
      </c>
      <c r="D95" s="323" t="s">
        <v>297</v>
      </c>
    </row>
    <row r="96" spans="1:4" s="366" customFormat="1" ht="19" x14ac:dyDescent="0.25">
      <c r="A96" s="324">
        <v>42349</v>
      </c>
      <c r="B96" s="373">
        <v>98184.812099999996</v>
      </c>
      <c r="C96" s="373"/>
      <c r="D96" s="325" t="s">
        <v>317</v>
      </c>
    </row>
    <row r="97" spans="1:4" s="366" customFormat="1" ht="19" x14ac:dyDescent="0.25">
      <c r="A97" s="31"/>
      <c r="B97" s="208"/>
      <c r="C97" s="208"/>
      <c r="D97" s="315"/>
    </row>
    <row r="98" spans="1:4" s="364" customFormat="1" ht="19" x14ac:dyDescent="0.25">
      <c r="A98" s="316" t="s">
        <v>10</v>
      </c>
      <c r="B98" s="380">
        <f>SUM(B2:B97)</f>
        <v>3618597.2421000004</v>
      </c>
      <c r="C98" s="380">
        <f>SUM(C2:C97)</f>
        <v>3837974</v>
      </c>
      <c r="D98" s="317"/>
    </row>
    <row r="99" spans="1:4" s="364" customFormat="1" ht="19" x14ac:dyDescent="0.25">
      <c r="A99" s="360"/>
      <c r="B99" s="381"/>
      <c r="C99" s="381"/>
      <c r="D99" s="361"/>
    </row>
    <row r="100" spans="1:4" s="364" customFormat="1" ht="19" x14ac:dyDescent="0.25">
      <c r="A100" s="362" t="s">
        <v>320</v>
      </c>
      <c r="B100" s="382"/>
      <c r="C100" s="382">
        <f>C98-B98</f>
        <v>219376.75789999962</v>
      </c>
      <c r="D100" s="318"/>
    </row>
    <row r="101" spans="1:4" s="364" customFormat="1" x14ac:dyDescent="0.2">
      <c r="A101" s="262"/>
      <c r="B101" s="206"/>
      <c r="C101" s="206"/>
      <c r="D101" s="346"/>
    </row>
    <row r="104" spans="1:4" x14ac:dyDescent="0.2">
      <c r="D104" s="346"/>
    </row>
    <row r="105" spans="1:4" x14ac:dyDescent="0.2">
      <c r="D105" s="346"/>
    </row>
    <row r="106" spans="1:4" x14ac:dyDescent="0.2">
      <c r="D106" s="346"/>
    </row>
    <row r="107" spans="1:4" x14ac:dyDescent="0.2">
      <c r="D107" s="346"/>
    </row>
    <row r="108" spans="1:4" x14ac:dyDescent="0.2">
      <c r="D108" s="335"/>
    </row>
  </sheetData>
  <autoFilter ref="D1:D101"/>
  <sortState ref="A2:D95">
    <sortCondition ref="A2:A95"/>
  </sortState>
  <pageMargins left="0.7" right="0.7" top="0.75" bottom="0.75" header="0.3" footer="0.3"/>
  <pageSetup scale="97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V65"/>
  <sheetViews>
    <sheetView workbookViewId="0">
      <selection activeCell="D32" sqref="D32"/>
    </sheetView>
  </sheetViews>
  <sheetFormatPr baseColWidth="10" defaultColWidth="8.83203125" defaultRowHeight="15" x14ac:dyDescent="0.2"/>
  <cols>
    <col min="1" max="1" width="2.5" customWidth="1"/>
    <col min="2" max="2" width="9.6640625" bestFit="1" customWidth="1"/>
    <col min="3" max="3" width="28" bestFit="1" customWidth="1"/>
    <col min="4" max="4" width="12.6640625" bestFit="1" customWidth="1"/>
    <col min="5" max="5" width="10.5" customWidth="1"/>
    <col min="6" max="6" width="44.33203125" style="260" bestFit="1" customWidth="1"/>
    <col min="7" max="7" width="14.33203125" style="260" bestFit="1" customWidth="1"/>
    <col min="8" max="8" width="41.1640625" style="260" bestFit="1" customWidth="1"/>
    <col min="18" max="18" width="14.33203125" bestFit="1" customWidth="1"/>
    <col min="28" max="28" width="14.33203125" bestFit="1" customWidth="1"/>
    <col min="38" max="38" width="14.33203125" bestFit="1" customWidth="1"/>
    <col min="48" max="48" width="12.6640625" bestFit="1" customWidth="1"/>
  </cols>
  <sheetData>
    <row r="1" spans="2:8" ht="20" thickBot="1" x14ac:dyDescent="0.3">
      <c r="B1" s="3" t="s">
        <v>41</v>
      </c>
    </row>
    <row r="2" spans="2:8" ht="16" thickBot="1" x14ac:dyDescent="0.25">
      <c r="B2" s="44" t="s">
        <v>0</v>
      </c>
      <c r="C2" s="44" t="s">
        <v>78</v>
      </c>
      <c r="D2" s="44" t="s">
        <v>29</v>
      </c>
      <c r="E2" s="280"/>
      <c r="F2" s="284" t="s">
        <v>0</v>
      </c>
      <c r="G2" s="285" t="s">
        <v>29</v>
      </c>
      <c r="H2" s="286" t="s">
        <v>3</v>
      </c>
    </row>
    <row r="3" spans="2:8" ht="16" thickTop="1" x14ac:dyDescent="0.2">
      <c r="B3" s="8">
        <v>42107</v>
      </c>
      <c r="C3" s="1" t="s">
        <v>13</v>
      </c>
      <c r="D3" s="2">
        <v>650000</v>
      </c>
      <c r="E3" s="281"/>
      <c r="F3" s="287">
        <v>39173</v>
      </c>
      <c r="G3" s="288">
        <v>1000</v>
      </c>
      <c r="H3" s="289" t="s">
        <v>257</v>
      </c>
    </row>
    <row r="4" spans="2:8" x14ac:dyDescent="0.2">
      <c r="B4" s="8">
        <v>42107</v>
      </c>
      <c r="C4" s="1" t="s">
        <v>14</v>
      </c>
      <c r="D4" s="2">
        <v>54000</v>
      </c>
      <c r="E4" s="281"/>
      <c r="F4" s="290">
        <v>39904</v>
      </c>
      <c r="G4" s="291">
        <v>10000</v>
      </c>
      <c r="H4" s="292" t="s">
        <v>257</v>
      </c>
    </row>
    <row r="5" spans="2:8" x14ac:dyDescent="0.2">
      <c r="B5" s="7">
        <v>42292</v>
      </c>
      <c r="C5" s="27" t="s">
        <v>86</v>
      </c>
      <c r="D5" s="2">
        <v>46000</v>
      </c>
      <c r="E5" s="281"/>
      <c r="F5" s="293"/>
      <c r="G5" s="291">
        <v>100000</v>
      </c>
      <c r="H5" s="294" t="s">
        <v>258</v>
      </c>
    </row>
    <row r="6" spans="2:8" x14ac:dyDescent="0.2">
      <c r="B6" s="7">
        <v>42344</v>
      </c>
      <c r="C6" s="27" t="s">
        <v>278</v>
      </c>
      <c r="D6" s="311">
        <v>203749</v>
      </c>
      <c r="E6" s="281"/>
      <c r="F6" s="293"/>
      <c r="G6" s="291">
        <v>100000</v>
      </c>
      <c r="H6" s="294" t="s">
        <v>259</v>
      </c>
    </row>
    <row r="7" spans="2:8" x14ac:dyDescent="0.2">
      <c r="B7" s="7">
        <v>42347</v>
      </c>
      <c r="C7" s="27" t="s">
        <v>279</v>
      </c>
      <c r="D7" s="312">
        <v>24450</v>
      </c>
      <c r="E7" s="282"/>
      <c r="F7" s="293"/>
      <c r="G7" s="291">
        <v>10000</v>
      </c>
      <c r="H7" s="292" t="s">
        <v>257</v>
      </c>
    </row>
    <row r="8" spans="2:8" x14ac:dyDescent="0.2">
      <c r="B8" s="7">
        <v>42349</v>
      </c>
      <c r="C8" s="27" t="s">
        <v>280</v>
      </c>
      <c r="D8" s="312">
        <v>89999.88</v>
      </c>
      <c r="E8" s="282"/>
      <c r="F8" s="287"/>
      <c r="G8" s="291">
        <v>1000</v>
      </c>
      <c r="H8" s="294" t="s">
        <v>260</v>
      </c>
    </row>
    <row r="9" spans="2:8" x14ac:dyDescent="0.2">
      <c r="B9" s="7">
        <v>42349</v>
      </c>
      <c r="C9" s="28" t="s">
        <v>281</v>
      </c>
      <c r="D9" s="312">
        <v>17595.2</v>
      </c>
      <c r="E9" s="282"/>
      <c r="F9" s="295" t="s">
        <v>261</v>
      </c>
      <c r="G9" s="296">
        <v>149000</v>
      </c>
      <c r="H9" s="294" t="s">
        <v>260</v>
      </c>
    </row>
    <row r="10" spans="2:8" x14ac:dyDescent="0.2">
      <c r="B10" s="7">
        <v>42349</v>
      </c>
      <c r="C10" s="28" t="s">
        <v>282</v>
      </c>
      <c r="D10" s="312">
        <v>694.4</v>
      </c>
      <c r="E10" s="282"/>
      <c r="F10" s="297"/>
      <c r="G10" s="296">
        <v>50000</v>
      </c>
      <c r="H10" s="294" t="s">
        <v>262</v>
      </c>
    </row>
    <row r="11" spans="2:8" x14ac:dyDescent="0.2">
      <c r="B11" s="28"/>
      <c r="C11" s="27"/>
      <c r="D11" s="28"/>
      <c r="E11" s="282"/>
      <c r="F11" s="297"/>
      <c r="G11" s="296">
        <v>143000</v>
      </c>
      <c r="H11" s="292" t="s">
        <v>257</v>
      </c>
    </row>
    <row r="12" spans="2:8" x14ac:dyDescent="0.2">
      <c r="B12" s="28"/>
      <c r="C12" s="27"/>
      <c r="D12" s="28"/>
      <c r="E12" s="282"/>
      <c r="F12" s="298"/>
      <c r="G12" s="296">
        <v>140000</v>
      </c>
      <c r="H12" s="294" t="s">
        <v>263</v>
      </c>
    </row>
    <row r="13" spans="2:8" x14ac:dyDescent="0.2">
      <c r="B13" s="27"/>
      <c r="C13" s="27"/>
      <c r="D13" s="27"/>
      <c r="E13" s="283"/>
      <c r="F13" s="299">
        <v>42292</v>
      </c>
      <c r="G13" s="296">
        <v>46000</v>
      </c>
      <c r="H13" s="294" t="s">
        <v>86</v>
      </c>
    </row>
    <row r="14" spans="2:8" ht="20" thickBot="1" x14ac:dyDescent="0.25">
      <c r="B14" s="27"/>
      <c r="C14" s="27"/>
      <c r="D14" s="27"/>
      <c r="E14" s="283"/>
      <c r="F14" s="300" t="s">
        <v>26</v>
      </c>
      <c r="G14" s="301">
        <f>SUM(G3:G13)</f>
        <v>750000</v>
      </c>
      <c r="H14" s="302"/>
    </row>
    <row r="15" spans="2:8" x14ac:dyDescent="0.2">
      <c r="B15" s="27"/>
      <c r="C15" s="27"/>
      <c r="D15" s="27"/>
      <c r="E15" s="283"/>
    </row>
    <row r="16" spans="2:8" x14ac:dyDescent="0.2">
      <c r="B16" s="27"/>
      <c r="C16" s="27"/>
      <c r="D16" s="27"/>
      <c r="E16" s="283"/>
    </row>
    <row r="17" spans="2:8" x14ac:dyDescent="0.2">
      <c r="B17" s="27"/>
      <c r="C17" s="27"/>
      <c r="D17" s="27"/>
      <c r="E17" s="283"/>
    </row>
    <row r="18" spans="2:8" ht="16" x14ac:dyDescent="0.2">
      <c r="B18" s="27"/>
      <c r="C18" s="27"/>
      <c r="D18" s="27"/>
      <c r="E18" s="283"/>
      <c r="F18" s="303" t="s">
        <v>264</v>
      </c>
    </row>
    <row r="19" spans="2:8" x14ac:dyDescent="0.2">
      <c r="B19" s="27"/>
      <c r="C19" s="27"/>
      <c r="D19" s="27"/>
      <c r="E19" s="283"/>
      <c r="F19" s="260" t="s">
        <v>265</v>
      </c>
      <c r="G19" s="304">
        <v>953749</v>
      </c>
    </row>
    <row r="20" spans="2:8" x14ac:dyDescent="0.2">
      <c r="B20" s="27"/>
      <c r="C20" s="27"/>
      <c r="D20" s="27"/>
      <c r="E20" s="283"/>
      <c r="F20" s="260" t="s">
        <v>266</v>
      </c>
      <c r="G20" s="304">
        <v>1068198.8799999999</v>
      </c>
    </row>
    <row r="21" spans="2:8" x14ac:dyDescent="0.2">
      <c r="B21" s="27"/>
      <c r="C21" s="27"/>
      <c r="D21" s="27"/>
      <c r="E21" s="283"/>
      <c r="F21" s="260" t="s">
        <v>267</v>
      </c>
      <c r="G21" s="304">
        <v>750000</v>
      </c>
    </row>
    <row r="22" spans="2:8" x14ac:dyDescent="0.2">
      <c r="B22" s="27"/>
      <c r="C22" s="27"/>
      <c r="D22" s="27"/>
      <c r="E22" s="283"/>
      <c r="G22" s="304"/>
    </row>
    <row r="23" spans="2:8" x14ac:dyDescent="0.2">
      <c r="B23" s="27"/>
      <c r="C23" s="27"/>
      <c r="D23" s="27"/>
      <c r="E23" s="283"/>
      <c r="F23" s="260" t="s">
        <v>268</v>
      </c>
      <c r="G23" s="304">
        <v>203749</v>
      </c>
    </row>
    <row r="24" spans="2:8" x14ac:dyDescent="0.2">
      <c r="B24" s="27"/>
      <c r="C24" s="27"/>
      <c r="D24" s="27"/>
      <c r="E24" s="283"/>
      <c r="F24" s="305" t="s">
        <v>269</v>
      </c>
      <c r="G24" s="306">
        <f>G20-G21</f>
        <v>318198.87999999989</v>
      </c>
    </row>
    <row r="25" spans="2:8" x14ac:dyDescent="0.2">
      <c r="B25" s="27"/>
      <c r="C25" s="27"/>
      <c r="D25" s="27"/>
      <c r="E25" s="283"/>
    </row>
    <row r="26" spans="2:8" ht="19" x14ac:dyDescent="0.25">
      <c r="B26" s="27"/>
      <c r="C26" s="27"/>
      <c r="D26" s="27"/>
      <c r="E26" s="283"/>
      <c r="F26" s="258" t="s">
        <v>270</v>
      </c>
      <c r="G26" s="307"/>
      <c r="H26" s="307"/>
    </row>
    <row r="27" spans="2:8" s="3" customFormat="1" ht="19" x14ac:dyDescent="0.25">
      <c r="B27" s="157" t="s">
        <v>26</v>
      </c>
      <c r="C27" s="157"/>
      <c r="D27" s="158">
        <f>SUM(D3:D26)</f>
        <v>1086488.4799999997</v>
      </c>
      <c r="E27" s="283"/>
      <c r="F27" s="260" t="s">
        <v>271</v>
      </c>
      <c r="G27" s="304">
        <v>203749</v>
      </c>
      <c r="H27" s="258"/>
    </row>
    <row r="28" spans="2:8" x14ac:dyDescent="0.2">
      <c r="E28" s="283"/>
      <c r="F28" s="260" t="s">
        <v>272</v>
      </c>
      <c r="G28" s="304">
        <v>24450</v>
      </c>
    </row>
    <row r="29" spans="2:8" x14ac:dyDescent="0.2">
      <c r="E29" s="283"/>
      <c r="F29" s="260" t="s">
        <v>273</v>
      </c>
      <c r="G29" s="304">
        <v>89999.879999999888</v>
      </c>
    </row>
    <row r="30" spans="2:8" x14ac:dyDescent="0.2">
      <c r="E30" s="283"/>
      <c r="F30" s="308" t="s">
        <v>274</v>
      </c>
      <c r="G30" s="309">
        <f>SUM(G27:G29)</f>
        <v>318198.87999999989</v>
      </c>
    </row>
    <row r="31" spans="2:8" x14ac:dyDescent="0.2">
      <c r="E31" s="283"/>
    </row>
    <row r="32" spans="2:8" x14ac:dyDescent="0.2">
      <c r="E32" s="283"/>
      <c r="F32" s="308" t="s">
        <v>275</v>
      </c>
      <c r="G32" s="309">
        <v>17595.2</v>
      </c>
    </row>
    <row r="33" spans="5:48" x14ac:dyDescent="0.2">
      <c r="E33" s="283"/>
      <c r="F33" s="308" t="s">
        <v>276</v>
      </c>
      <c r="G33" s="309">
        <v>694.4</v>
      </c>
    </row>
    <row r="34" spans="5:48" x14ac:dyDescent="0.2">
      <c r="E34" s="283"/>
    </row>
    <row r="35" spans="5:48" ht="19" x14ac:dyDescent="0.25">
      <c r="E35" s="283"/>
      <c r="F35" s="258" t="s">
        <v>277</v>
      </c>
      <c r="G35" s="259">
        <f>SUM(G32:G33,G30)</f>
        <v>336488.47999999986</v>
      </c>
    </row>
    <row r="36" spans="5:48" x14ac:dyDescent="0.2">
      <c r="E36" s="283"/>
    </row>
    <row r="42" spans="5:48" s="196" customFormat="1" x14ac:dyDescent="0.2">
      <c r="F42" s="304"/>
      <c r="G42" s="304"/>
      <c r="H42" s="304"/>
      <c r="R42" s="196">
        <v>500000</v>
      </c>
      <c r="AB42" s="196">
        <v>65384</v>
      </c>
      <c r="AL42" s="196">
        <v>175650</v>
      </c>
      <c r="AV42" s="196">
        <v>44400</v>
      </c>
    </row>
    <row r="43" spans="5:48" s="196" customFormat="1" x14ac:dyDescent="0.2">
      <c r="F43" s="304"/>
      <c r="G43" s="304"/>
      <c r="H43" s="304"/>
      <c r="R43" s="196">
        <v>150000</v>
      </c>
      <c r="AB43" s="196">
        <v>123480</v>
      </c>
      <c r="AL43" s="196">
        <v>223785</v>
      </c>
      <c r="AV43" s="196">
        <v>500</v>
      </c>
    </row>
    <row r="44" spans="5:48" s="196" customFormat="1" x14ac:dyDescent="0.2">
      <c r="F44" s="304"/>
      <c r="G44" s="304"/>
      <c r="H44" s="304"/>
      <c r="R44" s="196">
        <v>30450</v>
      </c>
      <c r="AB44" s="196">
        <v>55000</v>
      </c>
      <c r="AL44" s="196">
        <v>85100</v>
      </c>
    </row>
    <row r="45" spans="5:48" s="263" customFormat="1" ht="19" x14ac:dyDescent="0.25">
      <c r="F45" s="310"/>
      <c r="G45" s="310"/>
      <c r="H45" s="310"/>
      <c r="R45" s="263">
        <f>SUM(R42:R44)</f>
        <v>680450</v>
      </c>
      <c r="AB45" s="263">
        <f>SUM(AB42:AB44)</f>
        <v>243864</v>
      </c>
      <c r="AL45" s="263">
        <f>SUM(AL42:AL44)</f>
        <v>484535</v>
      </c>
      <c r="AV45" s="263">
        <f>SUM(AV42:AV44)</f>
        <v>44900</v>
      </c>
    </row>
    <row r="46" spans="5:48" s="196" customFormat="1" x14ac:dyDescent="0.2">
      <c r="F46" s="304"/>
      <c r="G46" s="304"/>
      <c r="H46" s="304"/>
    </row>
    <row r="47" spans="5:48" s="196" customFormat="1" x14ac:dyDescent="0.2">
      <c r="F47" s="304"/>
      <c r="G47" s="304"/>
      <c r="H47" s="304"/>
      <c r="R47" s="196">
        <f>R45+AB45+AL45+AV45</f>
        <v>1453749</v>
      </c>
    </row>
    <row r="48" spans="5:48" s="196" customFormat="1" x14ac:dyDescent="0.2">
      <c r="F48" s="304"/>
      <c r="G48" s="304"/>
      <c r="H48" s="304"/>
    </row>
    <row r="49" spans="6:18" s="196" customFormat="1" x14ac:dyDescent="0.2">
      <c r="F49" s="304"/>
      <c r="G49" s="304"/>
      <c r="H49" s="304"/>
      <c r="M49" s="196">
        <f>35*6</f>
        <v>210</v>
      </c>
      <c r="R49" s="196">
        <f>R47-500000</f>
        <v>953749</v>
      </c>
    </row>
    <row r="50" spans="6:18" s="196" customFormat="1" x14ac:dyDescent="0.2">
      <c r="F50" s="304"/>
      <c r="G50" s="304"/>
      <c r="H50" s="304"/>
    </row>
    <row r="51" spans="6:18" s="196" customFormat="1" x14ac:dyDescent="0.2">
      <c r="F51" s="304"/>
      <c r="G51" s="304"/>
      <c r="H51" s="304"/>
    </row>
    <row r="52" spans="6:18" s="196" customFormat="1" x14ac:dyDescent="0.2">
      <c r="F52" s="304"/>
      <c r="G52" s="304"/>
      <c r="H52" s="304"/>
    </row>
    <row r="53" spans="6:18" s="196" customFormat="1" x14ac:dyDescent="0.2">
      <c r="F53" s="304"/>
      <c r="G53" s="304"/>
      <c r="H53" s="304"/>
    </row>
    <row r="54" spans="6:18" s="196" customFormat="1" x14ac:dyDescent="0.2">
      <c r="F54" s="304"/>
      <c r="G54" s="304"/>
      <c r="H54" s="304"/>
    </row>
    <row r="55" spans="6:18" s="196" customFormat="1" x14ac:dyDescent="0.2">
      <c r="F55" s="304"/>
      <c r="G55" s="304"/>
      <c r="H55" s="304"/>
    </row>
    <row r="56" spans="6:18" s="196" customFormat="1" x14ac:dyDescent="0.2">
      <c r="F56" s="304"/>
      <c r="G56" s="304"/>
      <c r="H56" s="304"/>
    </row>
    <row r="57" spans="6:18" s="196" customFormat="1" x14ac:dyDescent="0.2">
      <c r="F57" s="304"/>
      <c r="G57" s="304"/>
      <c r="H57" s="304"/>
    </row>
    <row r="58" spans="6:18" s="196" customFormat="1" x14ac:dyDescent="0.2">
      <c r="F58" s="304"/>
      <c r="G58" s="304"/>
      <c r="H58" s="304"/>
    </row>
    <row r="59" spans="6:18" s="196" customFormat="1" x14ac:dyDescent="0.2">
      <c r="F59" s="304"/>
      <c r="G59" s="304"/>
      <c r="H59" s="304"/>
    </row>
    <row r="60" spans="6:18" s="196" customFormat="1" x14ac:dyDescent="0.2">
      <c r="F60" s="304"/>
      <c r="G60" s="304"/>
      <c r="H60" s="304"/>
    </row>
    <row r="61" spans="6:18" s="196" customFormat="1" x14ac:dyDescent="0.2">
      <c r="F61" s="304"/>
      <c r="G61" s="304"/>
      <c r="H61" s="304"/>
    </row>
    <row r="62" spans="6:18" s="196" customFormat="1" x14ac:dyDescent="0.2">
      <c r="F62" s="304"/>
      <c r="G62" s="304"/>
      <c r="H62" s="304"/>
    </row>
    <row r="63" spans="6:18" s="196" customFormat="1" x14ac:dyDescent="0.2">
      <c r="F63" s="304"/>
      <c r="G63" s="304"/>
      <c r="H63" s="304"/>
    </row>
    <row r="64" spans="6:18" s="196" customFormat="1" x14ac:dyDescent="0.2">
      <c r="F64" s="304"/>
      <c r="G64" s="304"/>
      <c r="H64" s="304"/>
    </row>
    <row r="65" spans="6:8" s="196" customFormat="1" x14ac:dyDescent="0.2">
      <c r="F65" s="304"/>
      <c r="G65" s="304"/>
      <c r="H65" s="304"/>
    </row>
  </sheetData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7"/>
  <sheetViews>
    <sheetView workbookViewId="0">
      <selection activeCell="P35" sqref="P35"/>
    </sheetView>
  </sheetViews>
  <sheetFormatPr baseColWidth="10" defaultColWidth="8.83203125" defaultRowHeight="15" x14ac:dyDescent="0.2"/>
  <cols>
    <col min="1" max="1" width="2.5" customWidth="1"/>
    <col min="2" max="2" width="9.6640625" bestFit="1" customWidth="1"/>
    <col min="3" max="3" width="10.83203125" customWidth="1"/>
    <col min="4" max="4" width="10.5" bestFit="1" customWidth="1"/>
  </cols>
  <sheetData>
    <row r="1" spans="2:4" ht="19" x14ac:dyDescent="0.25">
      <c r="B1" s="3" t="s">
        <v>40</v>
      </c>
    </row>
    <row r="2" spans="2:4" x14ac:dyDescent="0.2">
      <c r="B2" s="26" t="s">
        <v>0</v>
      </c>
      <c r="C2" s="27" t="s">
        <v>68</v>
      </c>
      <c r="D2" s="27" t="s">
        <v>29</v>
      </c>
    </row>
    <row r="3" spans="2:4" x14ac:dyDescent="0.2">
      <c r="B3" s="7">
        <v>42229</v>
      </c>
      <c r="C3" s="2" t="s">
        <v>69</v>
      </c>
      <c r="D3" s="2">
        <v>345000</v>
      </c>
    </row>
    <row r="4" spans="2:4" x14ac:dyDescent="0.2">
      <c r="B4" s="8"/>
      <c r="C4" s="2"/>
      <c r="D4" s="2"/>
    </row>
    <row r="5" spans="2:4" x14ac:dyDescent="0.2">
      <c r="B5" s="7"/>
      <c r="C5" s="2"/>
      <c r="D5" s="2"/>
    </row>
    <row r="6" spans="2:4" x14ac:dyDescent="0.2">
      <c r="B6" s="7"/>
      <c r="C6" s="2"/>
      <c r="D6" s="2"/>
    </row>
    <row r="7" spans="2:4" x14ac:dyDescent="0.2">
      <c r="B7" s="27"/>
      <c r="C7" s="27"/>
      <c r="D7" s="27"/>
    </row>
    <row r="8" spans="2:4" x14ac:dyDescent="0.2">
      <c r="B8" s="27"/>
      <c r="C8" s="27"/>
      <c r="D8" s="27"/>
    </row>
    <row r="9" spans="2:4" x14ac:dyDescent="0.2">
      <c r="B9" s="27"/>
      <c r="C9" s="27"/>
      <c r="D9" s="27"/>
    </row>
    <row r="10" spans="2:4" x14ac:dyDescent="0.2">
      <c r="B10" s="27"/>
      <c r="C10" s="27"/>
      <c r="D10" s="27"/>
    </row>
    <row r="11" spans="2:4" x14ac:dyDescent="0.2">
      <c r="B11" s="27"/>
      <c r="C11" s="27"/>
      <c r="D11" s="27"/>
    </row>
    <row r="12" spans="2:4" x14ac:dyDescent="0.2">
      <c r="B12" s="27"/>
      <c r="C12" s="27"/>
      <c r="D12" s="27"/>
    </row>
    <row r="13" spans="2:4" x14ac:dyDescent="0.2">
      <c r="B13" s="27"/>
      <c r="C13" s="27"/>
      <c r="D13" s="27"/>
    </row>
    <row r="14" spans="2:4" x14ac:dyDescent="0.2">
      <c r="B14" s="27"/>
      <c r="C14" s="27"/>
      <c r="D14" s="27"/>
    </row>
    <row r="15" spans="2:4" x14ac:dyDescent="0.2">
      <c r="B15" s="27"/>
      <c r="C15" s="27"/>
      <c r="D15" s="27"/>
    </row>
    <row r="16" spans="2:4" x14ac:dyDescent="0.2">
      <c r="B16" s="27"/>
      <c r="C16" s="27"/>
      <c r="D16" s="27"/>
    </row>
    <row r="17" spans="2:4" x14ac:dyDescent="0.2">
      <c r="B17" s="27"/>
      <c r="C17" s="27"/>
      <c r="D17" s="27"/>
    </row>
    <row r="18" spans="2:4" x14ac:dyDescent="0.2">
      <c r="B18" s="27"/>
      <c r="C18" s="27"/>
      <c r="D18" s="27"/>
    </row>
    <row r="19" spans="2:4" x14ac:dyDescent="0.2">
      <c r="B19" s="27"/>
      <c r="C19" s="27"/>
      <c r="D19" s="27"/>
    </row>
    <row r="20" spans="2:4" x14ac:dyDescent="0.2">
      <c r="B20" s="27"/>
      <c r="C20" s="27"/>
      <c r="D20" s="27"/>
    </row>
    <row r="21" spans="2:4" x14ac:dyDescent="0.2">
      <c r="B21" s="27"/>
      <c r="C21" s="27"/>
      <c r="D21" s="27"/>
    </row>
    <row r="22" spans="2:4" x14ac:dyDescent="0.2">
      <c r="B22" s="27"/>
      <c r="C22" s="27"/>
      <c r="D22" s="27"/>
    </row>
    <row r="23" spans="2:4" x14ac:dyDescent="0.2">
      <c r="B23" s="27"/>
      <c r="C23" s="27"/>
      <c r="D23" s="27"/>
    </row>
    <row r="24" spans="2:4" x14ac:dyDescent="0.2">
      <c r="B24" s="27"/>
      <c r="C24" s="27"/>
      <c r="D24" s="27"/>
    </row>
    <row r="25" spans="2:4" x14ac:dyDescent="0.2">
      <c r="B25" s="27"/>
      <c r="C25" s="27"/>
      <c r="D25" s="27"/>
    </row>
    <row r="26" spans="2:4" x14ac:dyDescent="0.2">
      <c r="B26" s="27"/>
      <c r="C26" s="27"/>
      <c r="D26" s="27"/>
    </row>
    <row r="27" spans="2:4" s="3" customFormat="1" ht="19" x14ac:dyDescent="0.25">
      <c r="B27" s="157" t="s">
        <v>26</v>
      </c>
      <c r="C27" s="157"/>
      <c r="D27" s="158">
        <f>SUM(D3:D26)</f>
        <v>345000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Q104"/>
  <sheetViews>
    <sheetView workbookViewId="0">
      <selection activeCell="G108" sqref="G108"/>
    </sheetView>
  </sheetViews>
  <sheetFormatPr baseColWidth="10" defaultColWidth="8.83203125" defaultRowHeight="15" x14ac:dyDescent="0.2"/>
  <cols>
    <col min="1" max="1" width="2.5" style="30" customWidth="1"/>
    <col min="2" max="2" width="9.83203125" style="30" bestFit="1" customWidth="1"/>
    <col min="3" max="3" width="14.33203125" style="199" bestFit="1" customWidth="1"/>
    <col min="4" max="4" width="22.6640625" style="30" bestFit="1" customWidth="1"/>
    <col min="5" max="5" width="9.83203125" style="30" bestFit="1" customWidth="1"/>
    <col min="6" max="6" width="10.1640625" style="199" bestFit="1" customWidth="1"/>
    <col min="7" max="7" width="5.5" style="30" bestFit="1" customWidth="1"/>
    <col min="8" max="8" width="10" style="35" bestFit="1" customWidth="1"/>
    <col min="9" max="9" width="50.5" style="30" bestFit="1" customWidth="1"/>
    <col min="10" max="10" width="15.5" style="199" bestFit="1" customWidth="1"/>
    <col min="11" max="11" width="8.83203125" style="30"/>
    <col min="12" max="12" width="9.5" style="30" bestFit="1" customWidth="1"/>
    <col min="13" max="13" width="10.33203125" style="30" customWidth="1"/>
    <col min="14" max="16384" width="8.83203125" style="30"/>
  </cols>
  <sheetData>
    <row r="1" spans="2:17" ht="19" x14ac:dyDescent="0.25">
      <c r="B1" s="29" t="s">
        <v>42</v>
      </c>
    </row>
    <row r="2" spans="2:17" ht="18.75" customHeight="1" thickBot="1" x14ac:dyDescent="0.25">
      <c r="B2" s="416" t="s">
        <v>2</v>
      </c>
      <c r="C2" s="417"/>
      <c r="D2" s="417"/>
      <c r="E2" s="417"/>
      <c r="F2" s="417"/>
      <c r="G2" s="417"/>
      <c r="H2" s="417" t="s">
        <v>1</v>
      </c>
      <c r="I2" s="417"/>
      <c r="J2" s="418"/>
      <c r="L2" s="414" t="s">
        <v>160</v>
      </c>
      <c r="M2" s="419" t="s">
        <v>159</v>
      </c>
      <c r="N2" s="420"/>
      <c r="O2" s="414" t="s">
        <v>78</v>
      </c>
      <c r="P2" s="414" t="s">
        <v>26</v>
      </c>
    </row>
    <row r="3" spans="2:17" ht="17" thickTop="1" thickBot="1" x14ac:dyDescent="0.25">
      <c r="B3" s="40" t="s">
        <v>0</v>
      </c>
      <c r="C3" s="207" t="s">
        <v>29</v>
      </c>
      <c r="D3" s="39" t="s">
        <v>64</v>
      </c>
      <c r="E3" s="39" t="s">
        <v>0</v>
      </c>
      <c r="F3" s="207" t="s">
        <v>29</v>
      </c>
      <c r="G3" s="39" t="s">
        <v>64</v>
      </c>
      <c r="H3" s="39" t="s">
        <v>0</v>
      </c>
      <c r="I3" s="39" t="s">
        <v>65</v>
      </c>
      <c r="J3" s="200" t="s">
        <v>29</v>
      </c>
      <c r="L3" s="415"/>
      <c r="M3" s="190" t="s">
        <v>48</v>
      </c>
      <c r="N3" s="190" t="s">
        <v>49</v>
      </c>
      <c r="O3" s="415"/>
      <c r="P3" s="415"/>
    </row>
    <row r="4" spans="2:17" s="35" customFormat="1" ht="16" thickTop="1" x14ac:dyDescent="0.2">
      <c r="B4" s="336">
        <v>42216</v>
      </c>
      <c r="C4" s="337">
        <v>276</v>
      </c>
      <c r="D4" s="338" t="s">
        <v>11</v>
      </c>
      <c r="E4" s="339">
        <v>42234</v>
      </c>
      <c r="F4" s="340">
        <v>3750</v>
      </c>
      <c r="G4" s="32" t="s">
        <v>49</v>
      </c>
      <c r="H4" s="172">
        <v>42231</v>
      </c>
      <c r="I4" s="43" t="s">
        <v>44</v>
      </c>
      <c r="J4" s="201">
        <v>472</v>
      </c>
      <c r="L4" s="187">
        <v>42217</v>
      </c>
      <c r="M4" s="36">
        <f>SUM(C4:C7)</f>
        <v>30276</v>
      </c>
      <c r="N4" s="33">
        <f>SUM(F4:F5)</f>
        <v>10050</v>
      </c>
      <c r="O4" s="33">
        <f>SUM(J4:J13)</f>
        <v>21661</v>
      </c>
      <c r="P4" s="33">
        <f>N4+M4-O4</f>
        <v>18665</v>
      </c>
      <c r="Q4" s="30"/>
    </row>
    <row r="5" spans="2:17" x14ac:dyDescent="0.2">
      <c r="B5" s="339">
        <v>42233</v>
      </c>
      <c r="C5" s="340">
        <v>10000</v>
      </c>
      <c r="D5" s="341" t="s">
        <v>48</v>
      </c>
      <c r="E5" s="339">
        <v>42240</v>
      </c>
      <c r="F5" s="340">
        <v>6300</v>
      </c>
      <c r="G5" s="32" t="s">
        <v>49</v>
      </c>
      <c r="H5" s="173" t="s">
        <v>63</v>
      </c>
      <c r="I5" s="34" t="s">
        <v>52</v>
      </c>
      <c r="J5" s="202">
        <v>8100</v>
      </c>
      <c r="L5" s="187">
        <v>42248</v>
      </c>
      <c r="M5" s="188">
        <f>SUM(C8:C20)</f>
        <v>130000</v>
      </c>
      <c r="N5" s="33">
        <f>SUM(F6:F9)</f>
        <v>34500</v>
      </c>
      <c r="O5" s="33">
        <f>SUM(J14:J36)</f>
        <v>122218.25</v>
      </c>
      <c r="P5" s="33">
        <f>N5+M5-O5</f>
        <v>42281.75</v>
      </c>
      <c r="Q5" s="76"/>
    </row>
    <row r="6" spans="2:17" x14ac:dyDescent="0.2">
      <c r="B6" s="339">
        <v>42239</v>
      </c>
      <c r="C6" s="340">
        <v>10000</v>
      </c>
      <c r="D6" s="341" t="s">
        <v>48</v>
      </c>
      <c r="E6" s="339">
        <v>42249</v>
      </c>
      <c r="F6" s="340">
        <v>7500</v>
      </c>
      <c r="G6" s="32" t="s">
        <v>49</v>
      </c>
      <c r="H6" s="173">
        <v>42235</v>
      </c>
      <c r="I6" s="34" t="s">
        <v>44</v>
      </c>
      <c r="J6" s="202">
        <v>372</v>
      </c>
      <c r="L6" s="187">
        <v>42278</v>
      </c>
      <c r="M6" s="33">
        <f>SUM(C21:C22)</f>
        <v>60000</v>
      </c>
      <c r="N6" s="33">
        <f>SUM(F10)</f>
        <v>4500</v>
      </c>
      <c r="O6" s="189">
        <f>SUM(J37:J45)</f>
        <v>97154.87</v>
      </c>
      <c r="P6" s="33">
        <f>N6+M6-O6</f>
        <v>-32654.869999999995</v>
      </c>
    </row>
    <row r="7" spans="2:17" x14ac:dyDescent="0.2">
      <c r="B7" s="339">
        <v>42247</v>
      </c>
      <c r="C7" s="340">
        <v>10000</v>
      </c>
      <c r="D7" s="341" t="s">
        <v>48</v>
      </c>
      <c r="E7" s="339">
        <v>42256</v>
      </c>
      <c r="F7" s="342">
        <v>9000</v>
      </c>
      <c r="G7" s="32" t="s">
        <v>49</v>
      </c>
      <c r="H7" s="173">
        <v>42239</v>
      </c>
      <c r="I7" s="34" t="s">
        <v>44</v>
      </c>
      <c r="J7" s="202">
        <v>402</v>
      </c>
      <c r="L7" s="36"/>
      <c r="M7" s="188">
        <f>SUM(M4:M6)</f>
        <v>220276</v>
      </c>
      <c r="N7" s="188">
        <f t="shared" ref="N7:O7" si="0">SUM(N4:N6)</f>
        <v>49050</v>
      </c>
      <c r="O7" s="188">
        <f t="shared" si="0"/>
        <v>241034.12</v>
      </c>
      <c r="P7" s="33">
        <f>N7+M7-O7</f>
        <v>28291.880000000005</v>
      </c>
    </row>
    <row r="8" spans="2:17" x14ac:dyDescent="0.2">
      <c r="B8" s="339">
        <v>42256</v>
      </c>
      <c r="C8" s="340">
        <v>10000</v>
      </c>
      <c r="D8" s="341" t="s">
        <v>48</v>
      </c>
      <c r="E8" s="339">
        <v>42261</v>
      </c>
      <c r="F8" s="342">
        <v>9000</v>
      </c>
      <c r="G8" s="32" t="s">
        <v>49</v>
      </c>
      <c r="H8" s="173">
        <v>42240</v>
      </c>
      <c r="I8" s="34" t="s">
        <v>50</v>
      </c>
      <c r="J8" s="202">
        <v>100</v>
      </c>
    </row>
    <row r="9" spans="2:17" x14ac:dyDescent="0.2">
      <c r="B9" s="339">
        <v>42262</v>
      </c>
      <c r="C9" s="340">
        <v>10000</v>
      </c>
      <c r="D9" s="341" t="s">
        <v>48</v>
      </c>
      <c r="E9" s="339">
        <v>42269</v>
      </c>
      <c r="F9" s="340">
        <v>9000</v>
      </c>
      <c r="G9" s="32" t="s">
        <v>49</v>
      </c>
      <c r="H9" s="173">
        <v>42240</v>
      </c>
      <c r="I9" s="34" t="s">
        <v>53</v>
      </c>
      <c r="J9" s="202">
        <v>9900</v>
      </c>
    </row>
    <row r="10" spans="2:17" x14ac:dyDescent="0.2">
      <c r="B10" s="339">
        <v>42263</v>
      </c>
      <c r="C10" s="340">
        <v>10000</v>
      </c>
      <c r="D10" s="341" t="s">
        <v>48</v>
      </c>
      <c r="E10" s="339">
        <v>42286</v>
      </c>
      <c r="F10" s="340">
        <v>4500</v>
      </c>
      <c r="G10" s="33" t="s">
        <v>49</v>
      </c>
      <c r="H10" s="173">
        <v>42241</v>
      </c>
      <c r="I10" s="34" t="s">
        <v>44</v>
      </c>
      <c r="J10" s="202">
        <v>416</v>
      </c>
    </row>
    <row r="11" spans="2:17" x14ac:dyDescent="0.2">
      <c r="B11" s="339">
        <v>42264</v>
      </c>
      <c r="C11" s="343">
        <v>10000</v>
      </c>
      <c r="D11" s="341" t="s">
        <v>48</v>
      </c>
      <c r="E11" s="339">
        <v>42292</v>
      </c>
      <c r="F11" s="340">
        <v>4500</v>
      </c>
      <c r="G11" s="33" t="s">
        <v>49</v>
      </c>
      <c r="H11" s="173">
        <v>42242</v>
      </c>
      <c r="I11" s="34" t="s">
        <v>44</v>
      </c>
      <c r="J11" s="202">
        <v>112</v>
      </c>
    </row>
    <row r="12" spans="2:17" x14ac:dyDescent="0.2">
      <c r="B12" s="339">
        <v>42265</v>
      </c>
      <c r="C12" s="343">
        <v>10000</v>
      </c>
      <c r="D12" s="341" t="s">
        <v>48</v>
      </c>
      <c r="E12" s="339">
        <v>42298</v>
      </c>
      <c r="F12" s="340">
        <v>1800</v>
      </c>
      <c r="G12" s="33" t="s">
        <v>49</v>
      </c>
      <c r="H12" s="173">
        <v>42243</v>
      </c>
      <c r="I12" s="34" t="s">
        <v>54</v>
      </c>
      <c r="J12" s="202">
        <v>1515</v>
      </c>
    </row>
    <row r="13" spans="2:17" x14ac:dyDescent="0.2">
      <c r="B13" s="339">
        <v>42266</v>
      </c>
      <c r="C13" s="343">
        <v>10000</v>
      </c>
      <c r="D13" s="341" t="s">
        <v>48</v>
      </c>
      <c r="E13" s="339"/>
      <c r="F13" s="340"/>
      <c r="G13" s="32"/>
      <c r="H13" s="173">
        <v>42246</v>
      </c>
      <c r="I13" s="34" t="s">
        <v>44</v>
      </c>
      <c r="J13" s="202">
        <v>272</v>
      </c>
    </row>
    <row r="14" spans="2:17" x14ac:dyDescent="0.2">
      <c r="B14" s="339">
        <v>42268</v>
      </c>
      <c r="C14" s="340">
        <v>10000</v>
      </c>
      <c r="D14" s="341" t="s">
        <v>48</v>
      </c>
      <c r="E14" s="339"/>
      <c r="F14" s="340"/>
      <c r="G14" s="32"/>
      <c r="H14" s="173">
        <v>42248</v>
      </c>
      <c r="I14" s="34" t="s">
        <v>55</v>
      </c>
      <c r="J14" s="202">
        <v>14300</v>
      </c>
    </row>
    <row r="15" spans="2:17" x14ac:dyDescent="0.2">
      <c r="B15" s="339">
        <v>42269</v>
      </c>
      <c r="C15" s="342">
        <v>10000</v>
      </c>
      <c r="D15" s="341" t="s">
        <v>48</v>
      </c>
      <c r="E15" s="339"/>
      <c r="F15" s="342"/>
      <c r="G15" s="32"/>
      <c r="H15" s="173">
        <v>42250</v>
      </c>
      <c r="I15" s="34" t="s">
        <v>44</v>
      </c>
      <c r="J15" s="202">
        <v>498</v>
      </c>
    </row>
    <row r="16" spans="2:17" x14ac:dyDescent="0.2">
      <c r="B16" s="339">
        <v>42270</v>
      </c>
      <c r="C16" s="342">
        <v>10000</v>
      </c>
      <c r="D16" s="341" t="s">
        <v>48</v>
      </c>
      <c r="E16" s="339"/>
      <c r="F16" s="342"/>
      <c r="G16" s="32"/>
      <c r="H16" s="173">
        <v>42251</v>
      </c>
      <c r="I16" s="34" t="s">
        <v>56</v>
      </c>
      <c r="J16" s="202">
        <v>300</v>
      </c>
    </row>
    <row r="17" spans="2:10" x14ac:dyDescent="0.2">
      <c r="B17" s="339">
        <v>42271</v>
      </c>
      <c r="C17" s="342">
        <v>10000</v>
      </c>
      <c r="D17" s="341" t="s">
        <v>48</v>
      </c>
      <c r="E17" s="344"/>
      <c r="F17" s="342"/>
      <c r="G17" s="34"/>
      <c r="H17" s="173">
        <v>42254</v>
      </c>
      <c r="I17" s="34" t="s">
        <v>57</v>
      </c>
      <c r="J17" s="202">
        <v>6500</v>
      </c>
    </row>
    <row r="18" spans="2:10" x14ac:dyDescent="0.2">
      <c r="B18" s="339">
        <v>42272</v>
      </c>
      <c r="C18" s="342">
        <v>10000</v>
      </c>
      <c r="D18" s="341" t="s">
        <v>48</v>
      </c>
      <c r="E18" s="344"/>
      <c r="F18" s="342"/>
      <c r="G18" s="34"/>
      <c r="H18" s="173">
        <v>42255</v>
      </c>
      <c r="I18" s="34" t="s">
        <v>51</v>
      </c>
      <c r="J18" s="202">
        <v>464</v>
      </c>
    </row>
    <row r="19" spans="2:10" x14ac:dyDescent="0.2">
      <c r="B19" s="339">
        <v>42275</v>
      </c>
      <c r="C19" s="342">
        <v>10000</v>
      </c>
      <c r="D19" s="341" t="s">
        <v>48</v>
      </c>
      <c r="E19" s="344"/>
      <c r="F19" s="342"/>
      <c r="G19" s="34"/>
      <c r="H19" s="173">
        <v>42256</v>
      </c>
      <c r="I19" s="34" t="s">
        <v>58</v>
      </c>
      <c r="J19" s="202">
        <f>10100+56</f>
        <v>10156</v>
      </c>
    </row>
    <row r="20" spans="2:10" x14ac:dyDescent="0.2">
      <c r="B20" s="339">
        <v>42277</v>
      </c>
      <c r="C20" s="342">
        <v>10000</v>
      </c>
      <c r="D20" s="341" t="s">
        <v>48</v>
      </c>
      <c r="E20" s="344"/>
      <c r="F20" s="342"/>
      <c r="G20" s="34"/>
      <c r="H20" s="173">
        <v>42257</v>
      </c>
      <c r="I20" s="34" t="s">
        <v>51</v>
      </c>
      <c r="J20" s="202">
        <v>451</v>
      </c>
    </row>
    <row r="21" spans="2:10" x14ac:dyDescent="0.2">
      <c r="B21" s="339">
        <v>42284</v>
      </c>
      <c r="C21" s="342">
        <v>20000</v>
      </c>
      <c r="D21" s="341" t="s">
        <v>48</v>
      </c>
      <c r="E21" s="344"/>
      <c r="F21" s="342"/>
      <c r="G21" s="34"/>
      <c r="H21" s="173">
        <v>42258</v>
      </c>
      <c r="I21" s="34" t="s">
        <v>59</v>
      </c>
      <c r="J21" s="202">
        <v>500</v>
      </c>
    </row>
    <row r="22" spans="2:10" x14ac:dyDescent="0.2">
      <c r="B22" s="345">
        <v>42286</v>
      </c>
      <c r="C22" s="342">
        <v>40000</v>
      </c>
      <c r="D22" s="341" t="s">
        <v>48</v>
      </c>
      <c r="E22" s="344"/>
      <c r="F22" s="342"/>
      <c r="G22" s="34"/>
      <c r="H22" s="173">
        <v>42261</v>
      </c>
      <c r="I22" s="34" t="s">
        <v>60</v>
      </c>
      <c r="J22" s="202">
        <v>11250</v>
      </c>
    </row>
    <row r="23" spans="2:10" x14ac:dyDescent="0.2">
      <c r="B23" s="339">
        <v>42296</v>
      </c>
      <c r="C23" s="342">
        <v>20000</v>
      </c>
      <c r="D23" s="341" t="s">
        <v>48</v>
      </c>
      <c r="E23" s="344"/>
      <c r="F23" s="342"/>
      <c r="G23" s="34"/>
      <c r="H23" s="173">
        <v>42262</v>
      </c>
      <c r="I23" s="34" t="s">
        <v>61</v>
      </c>
      <c r="J23" s="202">
        <v>8950</v>
      </c>
    </row>
    <row r="24" spans="2:10" x14ac:dyDescent="0.2">
      <c r="B24" s="339">
        <v>42299</v>
      </c>
      <c r="C24" s="342">
        <v>20000</v>
      </c>
      <c r="D24" s="341" t="s">
        <v>48</v>
      </c>
      <c r="E24" s="344"/>
      <c r="F24" s="342"/>
      <c r="G24" s="34"/>
      <c r="H24" s="173">
        <v>42262</v>
      </c>
      <c r="I24" s="34" t="s">
        <v>62</v>
      </c>
      <c r="J24" s="202">
        <v>663</v>
      </c>
    </row>
    <row r="25" spans="2:10" x14ac:dyDescent="0.2">
      <c r="B25" s="339">
        <v>42311</v>
      </c>
      <c r="C25" s="342">
        <v>30000</v>
      </c>
      <c r="D25" s="341" t="s">
        <v>48</v>
      </c>
      <c r="E25" s="344"/>
      <c r="F25" s="342"/>
      <c r="G25" s="34"/>
      <c r="H25" s="173">
        <v>42263</v>
      </c>
      <c r="I25" s="34" t="s">
        <v>66</v>
      </c>
      <c r="J25" s="202">
        <v>2386</v>
      </c>
    </row>
    <row r="26" spans="2:10" x14ac:dyDescent="0.2">
      <c r="B26" s="339">
        <v>42318</v>
      </c>
      <c r="C26" s="342">
        <v>20000</v>
      </c>
      <c r="D26" s="341" t="s">
        <v>48</v>
      </c>
      <c r="E26" s="344"/>
      <c r="F26" s="342"/>
      <c r="G26" s="34"/>
      <c r="H26" s="173">
        <v>42264</v>
      </c>
      <c r="I26" s="34" t="s">
        <v>82</v>
      </c>
      <c r="J26" s="202">
        <v>800</v>
      </c>
    </row>
    <row r="27" spans="2:10" x14ac:dyDescent="0.2">
      <c r="B27" s="339">
        <v>42324</v>
      </c>
      <c r="C27" s="342">
        <v>20000</v>
      </c>
      <c r="D27" s="341" t="s">
        <v>48</v>
      </c>
      <c r="E27" s="344"/>
      <c r="F27" s="342"/>
      <c r="G27" s="34"/>
      <c r="H27" s="173">
        <v>42266</v>
      </c>
      <c r="I27" s="34" t="s">
        <v>105</v>
      </c>
      <c r="J27" s="202">
        <v>620</v>
      </c>
    </row>
    <row r="28" spans="2:10" x14ac:dyDescent="0.2">
      <c r="B28" s="339">
        <v>42331</v>
      </c>
      <c r="C28" s="342">
        <v>10000</v>
      </c>
      <c r="D28" s="341" t="s">
        <v>48</v>
      </c>
      <c r="E28" s="344"/>
      <c r="F28" s="342"/>
      <c r="G28" s="34"/>
      <c r="H28" s="173">
        <v>42267</v>
      </c>
      <c r="I28" s="34" t="s">
        <v>106</v>
      </c>
      <c r="J28" s="202">
        <v>3236</v>
      </c>
    </row>
    <row r="29" spans="2:10" x14ac:dyDescent="0.2">
      <c r="B29" s="339">
        <v>42336</v>
      </c>
      <c r="C29" s="342">
        <v>49717.95</v>
      </c>
      <c r="D29" s="344" t="s">
        <v>235</v>
      </c>
      <c r="E29" s="344"/>
      <c r="F29" s="342"/>
      <c r="G29" s="34"/>
      <c r="H29" s="173">
        <v>42268</v>
      </c>
      <c r="I29" s="34" t="s">
        <v>107</v>
      </c>
      <c r="J29" s="202">
        <v>15350</v>
      </c>
    </row>
    <row r="30" spans="2:10" x14ac:dyDescent="0.2">
      <c r="B30" s="339">
        <v>42338</v>
      </c>
      <c r="C30" s="342">
        <v>10000</v>
      </c>
      <c r="D30" s="344" t="s">
        <v>226</v>
      </c>
      <c r="E30" s="344"/>
      <c r="F30" s="342"/>
      <c r="G30" s="34"/>
      <c r="H30" s="173">
        <v>42269</v>
      </c>
      <c r="I30" s="34" t="s">
        <v>108</v>
      </c>
      <c r="J30" s="202">
        <v>19852</v>
      </c>
    </row>
    <row r="31" spans="2:10" x14ac:dyDescent="0.2">
      <c r="B31" s="339">
        <v>42342</v>
      </c>
      <c r="C31" s="342">
        <v>60000</v>
      </c>
      <c r="D31" s="344" t="s">
        <v>243</v>
      </c>
      <c r="E31" s="344"/>
      <c r="F31" s="342"/>
      <c r="G31" s="34"/>
      <c r="H31" s="173">
        <v>42270</v>
      </c>
      <c r="I31" s="34" t="s">
        <v>100</v>
      </c>
      <c r="J31" s="202">
        <v>300</v>
      </c>
    </row>
    <row r="32" spans="2:10" x14ac:dyDescent="0.2">
      <c r="B32" s="339"/>
      <c r="C32" s="342"/>
      <c r="D32" s="344"/>
      <c r="E32" s="344"/>
      <c r="F32" s="342"/>
      <c r="G32" s="34"/>
      <c r="H32" s="173">
        <v>42271</v>
      </c>
      <c r="I32" s="34" t="s">
        <v>110</v>
      </c>
      <c r="J32" s="202">
        <v>2508.25</v>
      </c>
    </row>
    <row r="33" spans="2:10" x14ac:dyDescent="0.2">
      <c r="B33" s="339"/>
      <c r="C33" s="342"/>
      <c r="D33" s="344"/>
      <c r="E33" s="344"/>
      <c r="F33" s="342"/>
      <c r="G33" s="34"/>
      <c r="H33" s="173">
        <v>42272</v>
      </c>
      <c r="I33" s="34" t="s">
        <v>110</v>
      </c>
      <c r="J33" s="202">
        <v>322</v>
      </c>
    </row>
    <row r="34" spans="2:10" x14ac:dyDescent="0.2">
      <c r="B34" s="31"/>
      <c r="C34" s="202"/>
      <c r="D34" s="34"/>
      <c r="E34" s="34"/>
      <c r="F34" s="209"/>
      <c r="G34" s="34"/>
      <c r="H34" s="173">
        <v>42275</v>
      </c>
      <c r="I34" s="34" t="s">
        <v>119</v>
      </c>
      <c r="J34" s="202">
        <v>14950</v>
      </c>
    </row>
    <row r="35" spans="2:10" x14ac:dyDescent="0.2">
      <c r="B35" s="31"/>
      <c r="C35" s="202"/>
      <c r="D35" s="34"/>
      <c r="E35" s="34"/>
      <c r="F35" s="209"/>
      <c r="G35" s="34"/>
      <c r="H35" s="173">
        <v>42276</v>
      </c>
      <c r="I35" s="34" t="s">
        <v>120</v>
      </c>
      <c r="J35" s="202">
        <v>7562</v>
      </c>
    </row>
    <row r="36" spans="2:10" x14ac:dyDescent="0.2">
      <c r="B36" s="31"/>
      <c r="C36" s="202"/>
      <c r="D36" s="34"/>
      <c r="E36" s="34"/>
      <c r="F36" s="209"/>
      <c r="G36" s="34"/>
      <c r="H36" s="173">
        <v>42277</v>
      </c>
      <c r="I36" s="34" t="s">
        <v>100</v>
      </c>
      <c r="J36" s="202">
        <v>300</v>
      </c>
    </row>
    <row r="37" spans="2:10" x14ac:dyDescent="0.2">
      <c r="B37" s="31"/>
      <c r="C37" s="202"/>
      <c r="D37" s="34"/>
      <c r="E37" s="34"/>
      <c r="F37" s="209"/>
      <c r="G37" s="34"/>
      <c r="H37" s="173">
        <v>42278</v>
      </c>
      <c r="I37" s="34" t="s">
        <v>121</v>
      </c>
      <c r="J37" s="202">
        <v>1457</v>
      </c>
    </row>
    <row r="38" spans="2:10" x14ac:dyDescent="0.2">
      <c r="B38" s="31"/>
      <c r="C38" s="202"/>
      <c r="D38" s="34"/>
      <c r="E38" s="34"/>
      <c r="F38" s="209"/>
      <c r="G38" s="34"/>
      <c r="H38" s="173">
        <v>42280</v>
      </c>
      <c r="I38" s="34" t="s">
        <v>122</v>
      </c>
      <c r="J38" s="202">
        <v>27415</v>
      </c>
    </row>
    <row r="39" spans="2:10" x14ac:dyDescent="0.2">
      <c r="B39" s="31"/>
      <c r="C39" s="202"/>
      <c r="D39" s="34"/>
      <c r="E39" s="34"/>
      <c r="F39" s="209"/>
      <c r="G39" s="34"/>
      <c r="H39" s="173">
        <v>42282</v>
      </c>
      <c r="I39" s="34" t="s">
        <v>123</v>
      </c>
      <c r="J39" s="202">
        <f>29405+150</f>
        <v>29555</v>
      </c>
    </row>
    <row r="40" spans="2:10" x14ac:dyDescent="0.2">
      <c r="B40" s="31"/>
      <c r="C40" s="202"/>
      <c r="D40" s="34"/>
      <c r="E40" s="34"/>
      <c r="F40" s="209"/>
      <c r="G40" s="34"/>
      <c r="H40" s="173">
        <v>42283</v>
      </c>
      <c r="I40" s="34" t="s">
        <v>156</v>
      </c>
      <c r="J40" s="202">
        <v>490</v>
      </c>
    </row>
    <row r="41" spans="2:10" x14ac:dyDescent="0.2">
      <c r="B41" s="31"/>
      <c r="C41" s="202"/>
      <c r="D41" s="34"/>
      <c r="E41" s="34"/>
      <c r="F41" s="209"/>
      <c r="G41" s="34"/>
      <c r="H41" s="173">
        <v>42284</v>
      </c>
      <c r="I41" s="34" t="s">
        <v>157</v>
      </c>
      <c r="J41" s="202">
        <v>195</v>
      </c>
    </row>
    <row r="42" spans="2:10" x14ac:dyDescent="0.2">
      <c r="B42" s="31"/>
      <c r="C42" s="202"/>
      <c r="D42" s="34"/>
      <c r="E42" s="34"/>
      <c r="F42" s="209"/>
      <c r="G42" s="34"/>
      <c r="H42" s="173">
        <v>42285</v>
      </c>
      <c r="I42" s="34" t="s">
        <v>158</v>
      </c>
      <c r="J42" s="202">
        <v>8081.25</v>
      </c>
    </row>
    <row r="43" spans="2:10" x14ac:dyDescent="0.2">
      <c r="B43" s="31"/>
      <c r="C43" s="202"/>
      <c r="D43" s="34"/>
      <c r="E43" s="34"/>
      <c r="F43" s="209"/>
      <c r="G43" s="34"/>
      <c r="H43" s="173">
        <v>42287</v>
      </c>
      <c r="I43" s="34" t="s">
        <v>168</v>
      </c>
      <c r="J43" s="202">
        <v>840</v>
      </c>
    </row>
    <row r="44" spans="2:10" x14ac:dyDescent="0.2">
      <c r="B44" s="31"/>
      <c r="C44" s="202"/>
      <c r="D44" s="34"/>
      <c r="E44" s="34"/>
      <c r="F44" s="209"/>
      <c r="G44" s="34"/>
      <c r="H44" s="173">
        <v>42289</v>
      </c>
      <c r="I44" s="34" t="s">
        <v>169</v>
      </c>
      <c r="J44" s="202">
        <v>26087.62</v>
      </c>
    </row>
    <row r="45" spans="2:10" x14ac:dyDescent="0.2">
      <c r="B45" s="31"/>
      <c r="C45" s="202"/>
      <c r="D45" s="34"/>
      <c r="E45" s="34"/>
      <c r="F45" s="209"/>
      <c r="G45" s="34"/>
      <c r="H45" s="173">
        <v>42290</v>
      </c>
      <c r="I45" s="34" t="s">
        <v>170</v>
      </c>
      <c r="J45" s="202">
        <v>3034</v>
      </c>
    </row>
    <row r="46" spans="2:10" x14ac:dyDescent="0.2">
      <c r="B46" s="31"/>
      <c r="C46" s="202"/>
      <c r="D46" s="34"/>
      <c r="E46" s="34"/>
      <c r="F46" s="209"/>
      <c r="G46" s="34"/>
      <c r="H46" s="173">
        <v>42292</v>
      </c>
      <c r="I46" s="34" t="s">
        <v>107</v>
      </c>
      <c r="J46" s="202">
        <v>400</v>
      </c>
    </row>
    <row r="47" spans="2:10" x14ac:dyDescent="0.2">
      <c r="B47" s="31"/>
      <c r="C47" s="202"/>
      <c r="D47" s="34"/>
      <c r="E47" s="34"/>
      <c r="F47" s="209"/>
      <c r="G47" s="34"/>
      <c r="H47" s="173">
        <v>42293</v>
      </c>
      <c r="I47" s="34" t="s">
        <v>173</v>
      </c>
      <c r="J47" s="202">
        <v>7917</v>
      </c>
    </row>
    <row r="48" spans="2:10" x14ac:dyDescent="0.2">
      <c r="B48" s="31"/>
      <c r="C48" s="202"/>
      <c r="D48" s="34"/>
      <c r="E48" s="34"/>
      <c r="F48" s="209"/>
      <c r="G48" s="34"/>
      <c r="H48" s="173">
        <v>42294</v>
      </c>
      <c r="I48" s="34" t="s">
        <v>174</v>
      </c>
      <c r="J48" s="202">
        <v>633</v>
      </c>
    </row>
    <row r="49" spans="2:10" x14ac:dyDescent="0.2">
      <c r="B49" s="31"/>
      <c r="C49" s="202"/>
      <c r="D49" s="34"/>
      <c r="E49" s="34"/>
      <c r="F49" s="209"/>
      <c r="G49" s="34"/>
      <c r="H49" s="173">
        <v>42296</v>
      </c>
      <c r="I49" s="34" t="s">
        <v>175</v>
      </c>
      <c r="J49" s="202">
        <v>5749.75</v>
      </c>
    </row>
    <row r="50" spans="2:10" x14ac:dyDescent="0.2">
      <c r="B50" s="31"/>
      <c r="C50" s="202"/>
      <c r="D50" s="34"/>
      <c r="E50" s="34"/>
      <c r="F50" s="209"/>
      <c r="G50" s="34"/>
      <c r="H50" s="173">
        <v>42297</v>
      </c>
      <c r="I50" s="34" t="s">
        <v>176</v>
      </c>
      <c r="J50" s="202">
        <v>7804.25</v>
      </c>
    </row>
    <row r="51" spans="2:10" x14ac:dyDescent="0.2">
      <c r="B51" s="31"/>
      <c r="C51" s="202"/>
      <c r="D51" s="34"/>
      <c r="E51" s="34"/>
      <c r="F51" s="209"/>
      <c r="G51" s="34"/>
      <c r="H51" s="173">
        <v>42298</v>
      </c>
      <c r="I51" s="34" t="s">
        <v>179</v>
      </c>
      <c r="J51" s="202">
        <v>3272</v>
      </c>
    </row>
    <row r="52" spans="2:10" x14ac:dyDescent="0.2">
      <c r="B52" s="31"/>
      <c r="C52" s="202"/>
      <c r="D52" s="34"/>
      <c r="E52" s="34"/>
      <c r="F52" s="209"/>
      <c r="G52" s="34"/>
      <c r="H52" s="173">
        <v>42299</v>
      </c>
      <c r="I52" s="34" t="s">
        <v>100</v>
      </c>
      <c r="J52" s="202">
        <v>11475.65</v>
      </c>
    </row>
    <row r="53" spans="2:10" x14ac:dyDescent="0.2">
      <c r="B53" s="31"/>
      <c r="C53" s="202"/>
      <c r="D53" s="34"/>
      <c r="E53" s="34"/>
      <c r="F53" s="209"/>
      <c r="G53" s="34"/>
      <c r="H53" s="173">
        <v>42300</v>
      </c>
      <c r="I53" s="34" t="s">
        <v>182</v>
      </c>
      <c r="J53" s="202">
        <v>5865</v>
      </c>
    </row>
    <row r="54" spans="2:10" x14ac:dyDescent="0.2">
      <c r="B54" s="31"/>
      <c r="C54" s="202"/>
      <c r="D54" s="34"/>
      <c r="E54" s="34"/>
      <c r="F54" s="209"/>
      <c r="G54" s="34"/>
      <c r="H54" s="173">
        <v>42302</v>
      </c>
      <c r="I54" s="34" t="s">
        <v>183</v>
      </c>
      <c r="J54" s="202">
        <v>108</v>
      </c>
    </row>
    <row r="55" spans="2:10" x14ac:dyDescent="0.2">
      <c r="B55" s="31"/>
      <c r="C55" s="202"/>
      <c r="D55" s="34"/>
      <c r="E55" s="34"/>
      <c r="F55" s="209"/>
      <c r="G55" s="34"/>
      <c r="H55" s="173">
        <v>42303</v>
      </c>
      <c r="I55" s="34" t="s">
        <v>184</v>
      </c>
      <c r="J55" s="202">
        <v>2083.5</v>
      </c>
    </row>
    <row r="56" spans="2:10" x14ac:dyDescent="0.2">
      <c r="B56" s="31"/>
      <c r="C56" s="202"/>
      <c r="D56" s="34"/>
      <c r="E56" s="34"/>
      <c r="F56" s="209"/>
      <c r="G56" s="34"/>
      <c r="H56" s="173">
        <v>42304</v>
      </c>
      <c r="I56" s="34" t="s">
        <v>185</v>
      </c>
      <c r="J56" s="202">
        <v>1670</v>
      </c>
    </row>
    <row r="57" spans="2:10" x14ac:dyDescent="0.2">
      <c r="B57" s="31"/>
      <c r="C57" s="202"/>
      <c r="D57" s="34"/>
      <c r="E57" s="34"/>
      <c r="F57" s="209"/>
      <c r="G57" s="34"/>
      <c r="H57" s="173">
        <v>42305</v>
      </c>
      <c r="I57" s="34" t="s">
        <v>82</v>
      </c>
      <c r="J57" s="202">
        <v>5732</v>
      </c>
    </row>
    <row r="58" spans="2:10" x14ac:dyDescent="0.2">
      <c r="B58" s="31"/>
      <c r="C58" s="202"/>
      <c r="D58" s="34"/>
      <c r="E58" s="34"/>
      <c r="F58" s="209"/>
      <c r="G58" s="34"/>
      <c r="H58" s="173">
        <v>42307</v>
      </c>
      <c r="I58" s="34" t="s">
        <v>194</v>
      </c>
      <c r="J58" s="202">
        <v>707</v>
      </c>
    </row>
    <row r="59" spans="2:10" x14ac:dyDescent="0.2">
      <c r="B59" s="31"/>
      <c r="C59" s="202"/>
      <c r="D59" s="34"/>
      <c r="E59" s="34"/>
      <c r="F59" s="209"/>
      <c r="G59" s="34"/>
      <c r="H59" s="173">
        <v>42310</v>
      </c>
      <c r="I59" s="34" t="s">
        <v>195</v>
      </c>
      <c r="J59" s="202">
        <v>13312</v>
      </c>
    </row>
    <row r="60" spans="2:10" x14ac:dyDescent="0.2">
      <c r="B60" s="31"/>
      <c r="C60" s="202"/>
      <c r="D60" s="34"/>
      <c r="E60" s="34"/>
      <c r="F60" s="209"/>
      <c r="G60" s="34"/>
      <c r="H60" s="173">
        <v>42311</v>
      </c>
      <c r="I60" s="226" t="s">
        <v>196</v>
      </c>
      <c r="J60" s="202">
        <v>1538</v>
      </c>
    </row>
    <row r="61" spans="2:10" x14ac:dyDescent="0.2">
      <c r="B61" s="31"/>
      <c r="C61" s="202"/>
      <c r="D61" s="34"/>
      <c r="E61" s="34"/>
      <c r="F61" s="209"/>
      <c r="G61" s="34"/>
      <c r="H61" s="173">
        <v>42312</v>
      </c>
      <c r="I61" s="226" t="s">
        <v>197</v>
      </c>
      <c r="J61" s="202">
        <v>11258</v>
      </c>
    </row>
    <row r="62" spans="2:10" x14ac:dyDescent="0.2">
      <c r="B62" s="31"/>
      <c r="C62" s="202"/>
      <c r="D62" s="34"/>
      <c r="E62" s="34"/>
      <c r="F62" s="209"/>
      <c r="G62" s="34"/>
      <c r="H62" s="173">
        <v>42313</v>
      </c>
      <c r="I62" s="226" t="s">
        <v>183</v>
      </c>
      <c r="J62" s="202">
        <v>52</v>
      </c>
    </row>
    <row r="63" spans="2:10" x14ac:dyDescent="0.2">
      <c r="B63" s="31"/>
      <c r="C63" s="202"/>
      <c r="D63" s="34"/>
      <c r="E63" s="34"/>
      <c r="F63" s="209"/>
      <c r="G63" s="34"/>
      <c r="H63" s="173">
        <v>42314</v>
      </c>
      <c r="I63" s="226" t="s">
        <v>198</v>
      </c>
      <c r="J63" s="202">
        <v>2461</v>
      </c>
    </row>
    <row r="64" spans="2:10" x14ac:dyDescent="0.2">
      <c r="B64" s="31"/>
      <c r="C64" s="202"/>
      <c r="D64" s="34"/>
      <c r="E64" s="34"/>
      <c r="F64" s="209"/>
      <c r="G64" s="34"/>
      <c r="H64" s="173">
        <v>42315</v>
      </c>
      <c r="I64" s="226" t="s">
        <v>194</v>
      </c>
      <c r="J64" s="202">
        <v>568</v>
      </c>
    </row>
    <row r="65" spans="2:10" x14ac:dyDescent="0.2">
      <c r="B65" s="31"/>
      <c r="C65" s="202"/>
      <c r="D65" s="34"/>
      <c r="E65" s="34"/>
      <c r="F65" s="209"/>
      <c r="G65" s="34"/>
      <c r="H65" s="173">
        <v>42317</v>
      </c>
      <c r="I65" s="226" t="s">
        <v>100</v>
      </c>
      <c r="J65" s="202">
        <v>9028.25</v>
      </c>
    </row>
    <row r="66" spans="2:10" x14ac:dyDescent="0.2">
      <c r="B66" s="31"/>
      <c r="C66" s="202"/>
      <c r="D66" s="34"/>
      <c r="E66" s="34"/>
      <c r="F66" s="209"/>
      <c r="G66" s="34"/>
      <c r="H66" s="173">
        <v>42318</v>
      </c>
      <c r="I66" s="226" t="s">
        <v>100</v>
      </c>
      <c r="J66" s="202">
        <v>3861.7</v>
      </c>
    </row>
    <row r="67" spans="2:10" x14ac:dyDescent="0.2">
      <c r="B67" s="31"/>
      <c r="C67" s="202"/>
      <c r="D67" s="34"/>
      <c r="E67" s="34"/>
      <c r="F67" s="209"/>
      <c r="G67" s="34"/>
      <c r="H67" s="173">
        <v>42319</v>
      </c>
      <c r="I67" s="226" t="s">
        <v>201</v>
      </c>
      <c r="J67" s="202">
        <v>3397</v>
      </c>
    </row>
    <row r="68" spans="2:10" x14ac:dyDescent="0.2">
      <c r="B68" s="31"/>
      <c r="C68" s="202"/>
      <c r="D68" s="34"/>
      <c r="E68" s="34"/>
      <c r="F68" s="209"/>
      <c r="G68" s="34"/>
      <c r="H68" s="173">
        <v>42320</v>
      </c>
      <c r="I68" s="226" t="s">
        <v>224</v>
      </c>
      <c r="J68" s="202">
        <v>15590</v>
      </c>
    </row>
    <row r="69" spans="2:10" x14ac:dyDescent="0.2">
      <c r="B69" s="31"/>
      <c r="C69" s="202"/>
      <c r="D69" s="34"/>
      <c r="E69" s="34"/>
      <c r="F69" s="209"/>
      <c r="G69" s="34"/>
      <c r="H69" s="173">
        <v>42321</v>
      </c>
      <c r="I69" s="226" t="s">
        <v>215</v>
      </c>
      <c r="J69" s="202">
        <v>6223</v>
      </c>
    </row>
    <row r="70" spans="2:10" x14ac:dyDescent="0.2">
      <c r="B70" s="31"/>
      <c r="C70" s="202"/>
      <c r="D70" s="34"/>
      <c r="E70" s="34"/>
      <c r="F70" s="209"/>
      <c r="G70" s="34"/>
      <c r="H70" s="173">
        <v>42322</v>
      </c>
      <c r="I70" s="226" t="s">
        <v>216</v>
      </c>
      <c r="J70" s="202">
        <v>2727.5</v>
      </c>
    </row>
    <row r="71" spans="2:10" x14ac:dyDescent="0.2">
      <c r="B71" s="31"/>
      <c r="C71" s="202"/>
      <c r="D71" s="34"/>
      <c r="E71" s="34"/>
      <c r="F71" s="209"/>
      <c r="G71" s="34"/>
      <c r="H71" s="173">
        <v>42323</v>
      </c>
      <c r="I71" s="226" t="s">
        <v>217</v>
      </c>
      <c r="J71" s="202">
        <v>1050</v>
      </c>
    </row>
    <row r="72" spans="2:10" x14ac:dyDescent="0.2">
      <c r="B72" s="31"/>
      <c r="C72" s="202"/>
      <c r="D72" s="34"/>
      <c r="E72" s="34"/>
      <c r="F72" s="209"/>
      <c r="G72" s="34"/>
      <c r="H72" s="173">
        <v>42324</v>
      </c>
      <c r="I72" s="226" t="s">
        <v>218</v>
      </c>
      <c r="J72" s="202">
        <v>1585</v>
      </c>
    </row>
    <row r="73" spans="2:10" x14ac:dyDescent="0.2">
      <c r="B73" s="31"/>
      <c r="C73" s="202"/>
      <c r="D73" s="34"/>
      <c r="E73" s="34"/>
      <c r="F73" s="209"/>
      <c r="G73" s="34"/>
      <c r="H73" s="173">
        <v>42325</v>
      </c>
      <c r="I73" s="226" t="s">
        <v>219</v>
      </c>
      <c r="J73" s="202">
        <v>2800.75</v>
      </c>
    </row>
    <row r="74" spans="2:10" x14ac:dyDescent="0.2">
      <c r="B74" s="31"/>
      <c r="C74" s="202"/>
      <c r="D74" s="34"/>
      <c r="E74" s="34"/>
      <c r="F74" s="209"/>
      <c r="G74" s="34"/>
      <c r="H74" s="173">
        <v>42326</v>
      </c>
      <c r="I74" s="226" t="s">
        <v>225</v>
      </c>
      <c r="J74" s="202">
        <v>1438</v>
      </c>
    </row>
    <row r="75" spans="2:10" x14ac:dyDescent="0.2">
      <c r="B75" s="31"/>
      <c r="C75" s="202"/>
      <c r="D75" s="34"/>
      <c r="E75" s="34"/>
      <c r="F75" s="209"/>
      <c r="G75" s="34"/>
      <c r="H75" s="173">
        <v>42328</v>
      </c>
      <c r="I75" s="226" t="s">
        <v>227</v>
      </c>
      <c r="J75" s="202">
        <v>2658</v>
      </c>
    </row>
    <row r="76" spans="2:10" x14ac:dyDescent="0.2">
      <c r="B76" s="31"/>
      <c r="C76" s="202"/>
      <c r="D76" s="34"/>
      <c r="E76" s="34"/>
      <c r="F76" s="209"/>
      <c r="G76" s="34"/>
      <c r="H76" s="173">
        <v>42329</v>
      </c>
      <c r="I76" s="226" t="s">
        <v>226</v>
      </c>
      <c r="J76" s="202">
        <v>475</v>
      </c>
    </row>
    <row r="77" spans="2:10" x14ac:dyDescent="0.2">
      <c r="B77" s="31"/>
      <c r="C77" s="202"/>
      <c r="D77" s="34"/>
      <c r="E77" s="34"/>
      <c r="F77" s="209"/>
      <c r="G77" s="34"/>
      <c r="H77" s="173">
        <v>42330</v>
      </c>
      <c r="I77" s="226" t="s">
        <v>228</v>
      </c>
      <c r="J77" s="202">
        <v>3949</v>
      </c>
    </row>
    <row r="78" spans="2:10" x14ac:dyDescent="0.2">
      <c r="B78" s="31"/>
      <c r="C78" s="202"/>
      <c r="D78" s="34"/>
      <c r="E78" s="34"/>
      <c r="F78" s="209"/>
      <c r="G78" s="34"/>
      <c r="H78" s="173">
        <v>42331</v>
      </c>
      <c r="I78" s="226" t="s">
        <v>234</v>
      </c>
      <c r="J78" s="202">
        <v>7489.06</v>
      </c>
    </row>
    <row r="79" spans="2:10" x14ac:dyDescent="0.2">
      <c r="B79" s="31"/>
      <c r="C79" s="202"/>
      <c r="D79" s="34"/>
      <c r="E79" s="34"/>
      <c r="F79" s="209"/>
      <c r="G79" s="34"/>
      <c r="H79" s="173">
        <v>42333</v>
      </c>
      <c r="I79" s="226" t="s">
        <v>244</v>
      </c>
      <c r="J79" s="202">
        <v>1570</v>
      </c>
    </row>
    <row r="80" spans="2:10" x14ac:dyDescent="0.2">
      <c r="B80" s="31"/>
      <c r="C80" s="202"/>
      <c r="D80" s="34"/>
      <c r="E80" s="34"/>
      <c r="F80" s="209"/>
      <c r="G80" s="34"/>
      <c r="H80" s="173">
        <v>42334</v>
      </c>
      <c r="I80" s="226" t="s">
        <v>226</v>
      </c>
      <c r="J80" s="202">
        <v>3930</v>
      </c>
    </row>
    <row r="81" spans="2:10" x14ac:dyDescent="0.2">
      <c r="B81" s="31"/>
      <c r="C81" s="202"/>
      <c r="D81" s="34"/>
      <c r="E81" s="34"/>
      <c r="F81" s="209"/>
      <c r="G81" s="34"/>
      <c r="H81" s="173">
        <v>42335</v>
      </c>
      <c r="I81" s="226" t="s">
        <v>226</v>
      </c>
      <c r="J81" s="202">
        <v>1250</v>
      </c>
    </row>
    <row r="82" spans="2:10" x14ac:dyDescent="0.2">
      <c r="B82" s="31"/>
      <c r="C82" s="202"/>
      <c r="D82" s="34"/>
      <c r="E82" s="34"/>
      <c r="F82" s="209"/>
      <c r="G82" s="34"/>
      <c r="H82" s="173">
        <v>42336</v>
      </c>
      <c r="I82" s="226" t="s">
        <v>245</v>
      </c>
      <c r="J82" s="202">
        <v>1380</v>
      </c>
    </row>
    <row r="83" spans="2:10" x14ac:dyDescent="0.2">
      <c r="B83" s="31"/>
      <c r="C83" s="202"/>
      <c r="D83" s="34"/>
      <c r="E83" s="34"/>
      <c r="F83" s="209"/>
      <c r="G83" s="34"/>
      <c r="H83" s="274">
        <v>42337</v>
      </c>
      <c r="I83" s="275" t="s">
        <v>246</v>
      </c>
      <c r="J83" s="276">
        <v>47715.87</v>
      </c>
    </row>
    <row r="84" spans="2:10" x14ac:dyDescent="0.2">
      <c r="B84" s="31"/>
      <c r="C84" s="202"/>
      <c r="D84" s="34"/>
      <c r="E84" s="34"/>
      <c r="F84" s="209"/>
      <c r="G84" s="34"/>
      <c r="H84" s="173">
        <v>42337</v>
      </c>
      <c r="I84" s="226" t="s">
        <v>247</v>
      </c>
      <c r="J84" s="202">
        <v>81</v>
      </c>
    </row>
    <row r="85" spans="2:10" x14ac:dyDescent="0.2">
      <c r="B85" s="31"/>
      <c r="C85" s="202"/>
      <c r="D85" s="34"/>
      <c r="E85" s="34"/>
      <c r="F85" s="209"/>
      <c r="G85" s="34"/>
      <c r="H85" s="173">
        <v>42338</v>
      </c>
      <c r="I85" s="226" t="s">
        <v>248</v>
      </c>
      <c r="J85" s="202">
        <v>2006.25</v>
      </c>
    </row>
    <row r="86" spans="2:10" x14ac:dyDescent="0.2">
      <c r="B86" s="31"/>
      <c r="C86" s="202"/>
      <c r="D86" s="34"/>
      <c r="E86" s="34"/>
      <c r="F86" s="209"/>
      <c r="G86" s="34"/>
      <c r="H86" s="173">
        <v>42339</v>
      </c>
      <c r="I86" s="226" t="s">
        <v>249</v>
      </c>
      <c r="J86" s="202">
        <v>1087.75</v>
      </c>
    </row>
    <row r="87" spans="2:10" x14ac:dyDescent="0.2">
      <c r="B87" s="31"/>
      <c r="C87" s="202"/>
      <c r="D87" s="34"/>
      <c r="E87" s="34"/>
      <c r="F87" s="209"/>
      <c r="G87" s="34"/>
      <c r="H87" s="173">
        <v>42340</v>
      </c>
      <c r="I87" s="226" t="s">
        <v>250</v>
      </c>
      <c r="J87" s="202">
        <v>894.35</v>
      </c>
    </row>
    <row r="88" spans="2:10" x14ac:dyDescent="0.2">
      <c r="B88" s="31"/>
      <c r="C88" s="202"/>
      <c r="D88" s="34"/>
      <c r="E88" s="34"/>
      <c r="F88" s="209"/>
      <c r="G88" s="34"/>
      <c r="H88" s="173">
        <v>42341</v>
      </c>
      <c r="I88" s="226" t="s">
        <v>251</v>
      </c>
      <c r="J88" s="202">
        <v>3943</v>
      </c>
    </row>
    <row r="89" spans="2:10" x14ac:dyDescent="0.2">
      <c r="B89" s="31"/>
      <c r="C89" s="202"/>
      <c r="D89" s="34"/>
      <c r="E89" s="34"/>
      <c r="F89" s="209"/>
      <c r="G89" s="34"/>
      <c r="H89" s="274">
        <v>42342</v>
      </c>
      <c r="I89" s="275" t="s">
        <v>252</v>
      </c>
      <c r="J89" s="276">
        <v>1000</v>
      </c>
    </row>
    <row r="90" spans="2:10" x14ac:dyDescent="0.2">
      <c r="B90" s="31"/>
      <c r="C90" s="202"/>
      <c r="D90" s="34"/>
      <c r="E90" s="34"/>
      <c r="F90" s="209"/>
      <c r="G90" s="34"/>
      <c r="H90" s="173">
        <v>42342</v>
      </c>
      <c r="I90" s="226" t="s">
        <v>253</v>
      </c>
      <c r="J90" s="202">
        <v>1629.9</v>
      </c>
    </row>
    <row r="91" spans="2:10" x14ac:dyDescent="0.2">
      <c r="B91" s="31"/>
      <c r="C91" s="202"/>
      <c r="D91" s="34"/>
      <c r="E91" s="34"/>
      <c r="F91" s="209"/>
      <c r="G91" s="34"/>
      <c r="H91" s="173">
        <v>42343</v>
      </c>
      <c r="I91" s="226" t="s">
        <v>226</v>
      </c>
      <c r="J91" s="202">
        <v>800</v>
      </c>
    </row>
    <row r="92" spans="2:10" x14ac:dyDescent="0.2">
      <c r="B92" s="31"/>
      <c r="C92" s="202"/>
      <c r="D92" s="34"/>
      <c r="E92" s="34"/>
      <c r="F92" s="209"/>
      <c r="G92" s="34"/>
      <c r="H92" s="173">
        <v>42345</v>
      </c>
      <c r="I92" s="226" t="s">
        <v>286</v>
      </c>
      <c r="J92" s="202">
        <v>2692</v>
      </c>
    </row>
    <row r="93" spans="2:10" x14ac:dyDescent="0.2">
      <c r="B93" s="31"/>
      <c r="C93" s="202"/>
      <c r="D93" s="34"/>
      <c r="E93" s="34"/>
      <c r="F93" s="209"/>
      <c r="G93" s="34"/>
      <c r="H93" s="173">
        <v>42346</v>
      </c>
      <c r="I93" s="226" t="s">
        <v>226</v>
      </c>
      <c r="J93" s="202">
        <v>400</v>
      </c>
    </row>
    <row r="94" spans="2:10" x14ac:dyDescent="0.2">
      <c r="B94" s="31"/>
      <c r="C94" s="202"/>
      <c r="D94" s="34"/>
      <c r="E94" s="34"/>
      <c r="F94" s="209"/>
      <c r="G94" s="34"/>
      <c r="H94" s="173">
        <v>42348</v>
      </c>
      <c r="I94" s="226" t="s">
        <v>287</v>
      </c>
      <c r="J94" s="202">
        <v>4478.1000000000004</v>
      </c>
    </row>
    <row r="95" spans="2:10" x14ac:dyDescent="0.2">
      <c r="B95" s="31"/>
      <c r="C95" s="202"/>
      <c r="D95" s="34"/>
      <c r="E95" s="34"/>
      <c r="F95" s="209"/>
      <c r="G95" s="34"/>
      <c r="H95" s="173"/>
      <c r="I95" s="226"/>
      <c r="J95" s="202"/>
    </row>
    <row r="96" spans="2:10" x14ac:dyDescent="0.2">
      <c r="B96" s="31"/>
      <c r="C96" s="202"/>
      <c r="D96" s="34"/>
      <c r="E96" s="34"/>
      <c r="F96" s="209"/>
      <c r="G96" s="34"/>
      <c r="H96" s="173"/>
      <c r="I96" s="226"/>
      <c r="J96" s="202"/>
    </row>
    <row r="97" spans="2:15" x14ac:dyDescent="0.2">
      <c r="B97" s="31"/>
      <c r="C97" s="202"/>
      <c r="D97" s="34"/>
      <c r="E97" s="34"/>
      <c r="F97" s="209"/>
      <c r="G97" s="34"/>
      <c r="H97" s="173"/>
      <c r="I97" s="226"/>
      <c r="J97" s="202"/>
    </row>
    <row r="98" spans="2:15" x14ac:dyDescent="0.2">
      <c r="B98" s="31"/>
      <c r="C98" s="202"/>
      <c r="D98" s="34"/>
      <c r="E98" s="34"/>
      <c r="F98" s="209"/>
      <c r="G98" s="34"/>
      <c r="H98" s="173"/>
      <c r="I98" s="226"/>
      <c r="J98" s="202"/>
    </row>
    <row r="99" spans="2:15" x14ac:dyDescent="0.2">
      <c r="B99" s="31"/>
      <c r="C99" s="202"/>
      <c r="D99" s="34"/>
      <c r="E99" s="34"/>
      <c r="F99" s="209"/>
      <c r="G99" s="34"/>
      <c r="H99" s="173"/>
      <c r="I99" s="34"/>
      <c r="J99" s="202"/>
    </row>
    <row r="100" spans="2:15" s="41" customFormat="1" ht="16" x14ac:dyDescent="0.2">
      <c r="C100" s="203">
        <f>SUM(C4:C99)</f>
        <v>459993.95</v>
      </c>
      <c r="F100" s="203">
        <f>SUM(F4:F99)</f>
        <v>55350</v>
      </c>
      <c r="H100" s="42"/>
      <c r="J100" s="203"/>
      <c r="K100" s="30"/>
      <c r="L100" s="30"/>
      <c r="M100" s="30"/>
      <c r="N100" s="30"/>
      <c r="O100" s="30"/>
    </row>
    <row r="101" spans="2:15" s="29" customFormat="1" ht="19" x14ac:dyDescent="0.25">
      <c r="B101" s="38" t="s">
        <v>26</v>
      </c>
      <c r="C101" s="204">
        <f>SUM(B100:G100)</f>
        <v>515343.95</v>
      </c>
      <c r="F101" s="204"/>
      <c r="H101" s="37"/>
      <c r="J101" s="204">
        <f>SUM(J4:J99)</f>
        <v>460770.75</v>
      </c>
      <c r="K101" s="41"/>
      <c r="L101" s="41"/>
      <c r="M101" s="41"/>
      <c r="N101" s="41"/>
      <c r="O101" s="41"/>
    </row>
    <row r="102" spans="2:15" ht="21" x14ac:dyDescent="0.25">
      <c r="I102" s="149" t="s">
        <v>67</v>
      </c>
      <c r="J102" s="205">
        <f>C101-J101</f>
        <v>54573.200000000012</v>
      </c>
      <c r="K102" s="29"/>
      <c r="L102" s="29"/>
      <c r="M102" s="29"/>
      <c r="N102" s="29"/>
      <c r="O102" s="29"/>
    </row>
    <row r="104" spans="2:15" x14ac:dyDescent="0.2">
      <c r="J104" s="206"/>
    </row>
  </sheetData>
  <mergeCells count="6">
    <mergeCell ref="P2:P3"/>
    <mergeCell ref="B2:G2"/>
    <mergeCell ref="H2:J2"/>
    <mergeCell ref="L2:L3"/>
    <mergeCell ref="M2:N2"/>
    <mergeCell ref="O2:O3"/>
  </mergeCells>
  <pageMargins left="0.7" right="0.7" top="0.75" bottom="0.75" header="0.3" footer="0.3"/>
  <pageSetup paperSize="9" scale="98" orientation="landscape" r:id="rId1"/>
  <ignoredErrors>
    <ignoredError sqref="H5" twoDigitTextYear="1"/>
  </ignoredError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workbookViewId="0">
      <selection activeCell="D31" sqref="D31"/>
    </sheetView>
  </sheetViews>
  <sheetFormatPr baseColWidth="10" defaultColWidth="8.83203125" defaultRowHeight="15" x14ac:dyDescent="0.2"/>
  <cols>
    <col min="1" max="1" width="2.5" customWidth="1"/>
    <col min="2" max="2" width="10" bestFit="1" customWidth="1"/>
    <col min="3" max="3" width="20.33203125" bestFit="1" customWidth="1"/>
    <col min="4" max="4" width="12.6640625" style="45" bestFit="1" customWidth="1"/>
  </cols>
  <sheetData>
    <row r="1" spans="2:6" ht="19" x14ac:dyDescent="0.25">
      <c r="B1" s="3" t="s">
        <v>27</v>
      </c>
    </row>
    <row r="2" spans="2:6" x14ac:dyDescent="0.2">
      <c r="B2" s="26" t="s">
        <v>0</v>
      </c>
      <c r="C2" s="46" t="s">
        <v>78</v>
      </c>
      <c r="D2" s="27" t="s">
        <v>29</v>
      </c>
    </row>
    <row r="3" spans="2:6" x14ac:dyDescent="0.2">
      <c r="B3" s="7">
        <v>42179</v>
      </c>
      <c r="C3" s="47" t="s">
        <v>74</v>
      </c>
      <c r="D3" s="2">
        <v>2000</v>
      </c>
    </row>
    <row r="4" spans="2:6" x14ac:dyDescent="0.2">
      <c r="B4" s="8">
        <v>42187</v>
      </c>
      <c r="C4" s="47" t="s">
        <v>74</v>
      </c>
      <c r="D4" s="2">
        <v>8000</v>
      </c>
    </row>
    <row r="5" spans="2:6" x14ac:dyDescent="0.2">
      <c r="B5" s="7">
        <v>42219</v>
      </c>
      <c r="C5" s="47" t="s">
        <v>75</v>
      </c>
      <c r="D5" s="2">
        <v>350000</v>
      </c>
    </row>
    <row r="6" spans="2:6" x14ac:dyDescent="0.2">
      <c r="B6" s="7">
        <v>42265</v>
      </c>
      <c r="C6" s="47" t="s">
        <v>76</v>
      </c>
      <c r="D6" s="2">
        <v>150000</v>
      </c>
    </row>
    <row r="7" spans="2:6" x14ac:dyDescent="0.2">
      <c r="B7" s="7">
        <v>42268</v>
      </c>
      <c r="C7" s="47" t="s">
        <v>103</v>
      </c>
      <c r="D7" s="2">
        <v>100000</v>
      </c>
    </row>
    <row r="8" spans="2:6" x14ac:dyDescent="0.2">
      <c r="B8" s="7">
        <v>42272</v>
      </c>
      <c r="C8" s="47" t="s">
        <v>109</v>
      </c>
      <c r="D8" s="2">
        <v>100000</v>
      </c>
    </row>
    <row r="9" spans="2:6" x14ac:dyDescent="0.2">
      <c r="B9" s="7">
        <v>42275</v>
      </c>
      <c r="C9" s="47" t="s">
        <v>111</v>
      </c>
      <c r="D9" s="2">
        <v>100000</v>
      </c>
    </row>
    <row r="10" spans="2:6" x14ac:dyDescent="0.2">
      <c r="B10" s="7">
        <v>42278</v>
      </c>
      <c r="C10" s="164" t="s">
        <v>114</v>
      </c>
      <c r="D10" s="2">
        <v>100000</v>
      </c>
    </row>
    <row r="11" spans="2:6" x14ac:dyDescent="0.2">
      <c r="B11" s="9">
        <v>42279</v>
      </c>
      <c r="C11" s="235" t="s">
        <v>85</v>
      </c>
      <c r="D11" s="10">
        <v>150200</v>
      </c>
    </row>
    <row r="12" spans="2:6" x14ac:dyDescent="0.2">
      <c r="B12" s="7">
        <v>42279</v>
      </c>
      <c r="C12" s="164" t="s">
        <v>115</v>
      </c>
      <c r="D12" s="2">
        <f>200000-D11</f>
        <v>49800</v>
      </c>
    </row>
    <row r="13" spans="2:6" x14ac:dyDescent="0.2">
      <c r="B13" s="7">
        <v>42282</v>
      </c>
      <c r="C13" s="164" t="s">
        <v>118</v>
      </c>
      <c r="D13" s="2">
        <v>100000</v>
      </c>
      <c r="F13" s="6"/>
    </row>
    <row r="14" spans="2:6" x14ac:dyDescent="0.2">
      <c r="B14" s="191">
        <v>42290</v>
      </c>
      <c r="C14" s="164" t="s">
        <v>165</v>
      </c>
      <c r="D14" s="2">
        <v>200000</v>
      </c>
    </row>
    <row r="15" spans="2:6" x14ac:dyDescent="0.2">
      <c r="B15" s="7">
        <v>42300</v>
      </c>
      <c r="C15" s="164" t="s">
        <v>181</v>
      </c>
      <c r="D15" s="2">
        <v>50000</v>
      </c>
    </row>
    <row r="16" spans="2:6" x14ac:dyDescent="0.2">
      <c r="B16" s="7">
        <v>42307</v>
      </c>
      <c r="C16" s="164" t="s">
        <v>186</v>
      </c>
      <c r="D16" s="2">
        <v>50000</v>
      </c>
    </row>
    <row r="17" spans="2:5" x14ac:dyDescent="0.2">
      <c r="B17" s="9">
        <v>42312</v>
      </c>
      <c r="C17" s="11" t="s">
        <v>84</v>
      </c>
      <c r="D17" s="10">
        <v>15000</v>
      </c>
    </row>
    <row r="18" spans="2:5" x14ac:dyDescent="0.2">
      <c r="B18" s="7">
        <v>42327</v>
      </c>
      <c r="C18" s="46" t="s">
        <v>208</v>
      </c>
      <c r="D18" s="2">
        <v>103930</v>
      </c>
    </row>
    <row r="19" spans="2:5" x14ac:dyDescent="0.2">
      <c r="B19" s="7"/>
      <c r="C19" s="46"/>
      <c r="D19" s="2"/>
    </row>
    <row r="20" spans="2:5" x14ac:dyDescent="0.2">
      <c r="B20" s="7"/>
      <c r="C20" s="46"/>
      <c r="D20" s="2"/>
    </row>
    <row r="21" spans="2:5" x14ac:dyDescent="0.2">
      <c r="B21" s="7"/>
      <c r="C21" s="46"/>
      <c r="D21" s="2"/>
    </row>
    <row r="22" spans="2:5" x14ac:dyDescent="0.2">
      <c r="B22" s="7"/>
      <c r="C22" s="46"/>
      <c r="D22" s="2"/>
    </row>
    <row r="23" spans="2:5" x14ac:dyDescent="0.2">
      <c r="B23" s="7"/>
      <c r="C23" s="46"/>
      <c r="D23" s="2"/>
    </row>
    <row r="24" spans="2:5" x14ac:dyDescent="0.2">
      <c r="B24" s="7"/>
      <c r="C24" s="46"/>
      <c r="D24" s="2"/>
    </row>
    <row r="25" spans="2:5" x14ac:dyDescent="0.2">
      <c r="B25" s="7"/>
      <c r="C25" s="46"/>
      <c r="D25" s="2"/>
    </row>
    <row r="26" spans="2:5" x14ac:dyDescent="0.2">
      <c r="B26" s="7"/>
      <c r="C26" s="46"/>
      <c r="D26" s="2"/>
    </row>
    <row r="27" spans="2:5" s="3" customFormat="1" ht="19" x14ac:dyDescent="0.25">
      <c r="B27" s="7"/>
      <c r="C27" s="46"/>
      <c r="D27" s="2"/>
    </row>
    <row r="28" spans="2:5" ht="19" x14ac:dyDescent="0.25">
      <c r="B28" s="157" t="s">
        <v>26</v>
      </c>
      <c r="C28" s="159"/>
      <c r="D28" s="158">
        <f>SUM(D3:D27)</f>
        <v>1628930</v>
      </c>
    </row>
    <row r="30" spans="2:5" x14ac:dyDescent="0.2">
      <c r="C30" s="236" t="s">
        <v>209</v>
      </c>
      <c r="D30" s="237">
        <f>D28-150000-15000</f>
        <v>1463930</v>
      </c>
      <c r="E30" t="s">
        <v>210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G30" sqref="G30"/>
    </sheetView>
  </sheetViews>
  <sheetFormatPr baseColWidth="10" defaultColWidth="8.83203125" defaultRowHeight="15" x14ac:dyDescent="0.2"/>
  <cols>
    <col min="1" max="1" width="12.5" style="238" customWidth="1"/>
    <col min="2" max="2" width="15.5" style="161" bestFit="1" customWidth="1"/>
    <col min="3" max="3" width="14.33203125" style="186" bestFit="1" customWidth="1"/>
    <col min="5" max="5" width="15" style="161" bestFit="1" customWidth="1"/>
    <col min="6" max="6" width="12" style="161" bestFit="1" customWidth="1"/>
    <col min="7" max="7" width="12.6640625" style="186" bestFit="1" customWidth="1"/>
  </cols>
  <sheetData>
    <row r="1" spans="1:8" x14ac:dyDescent="0.2">
      <c r="A1" s="266" t="s">
        <v>238</v>
      </c>
      <c r="E1" s="266" t="s">
        <v>239</v>
      </c>
    </row>
    <row r="2" spans="1:8" x14ac:dyDescent="0.2">
      <c r="A2" s="238" t="s">
        <v>0</v>
      </c>
      <c r="B2" s="161" t="s">
        <v>207</v>
      </c>
      <c r="C2" s="186" t="s">
        <v>29</v>
      </c>
      <c r="E2" s="238" t="s">
        <v>0</v>
      </c>
      <c r="F2" s="161" t="s">
        <v>207</v>
      </c>
      <c r="G2" s="186" t="s">
        <v>29</v>
      </c>
    </row>
    <row r="3" spans="1:8" x14ac:dyDescent="0.2">
      <c r="A3" s="238">
        <v>42319</v>
      </c>
      <c r="B3" s="161">
        <v>18</v>
      </c>
      <c r="C3" s="186">
        <v>3485</v>
      </c>
      <c r="E3" s="270">
        <v>42339</v>
      </c>
      <c r="F3" s="161">
        <v>12</v>
      </c>
      <c r="G3" s="186">
        <v>5400</v>
      </c>
    </row>
    <row r="4" spans="1:8" x14ac:dyDescent="0.2">
      <c r="A4" s="238">
        <v>42320</v>
      </c>
      <c r="B4" s="161">
        <v>26</v>
      </c>
      <c r="C4" s="186">
        <v>5285</v>
      </c>
      <c r="E4" s="270">
        <v>42340</v>
      </c>
      <c r="F4" s="161">
        <v>14</v>
      </c>
      <c r="G4" s="186">
        <v>5495</v>
      </c>
    </row>
    <row r="5" spans="1:8" x14ac:dyDescent="0.2">
      <c r="A5" s="238">
        <v>42321</v>
      </c>
      <c r="B5" s="161">
        <v>33</v>
      </c>
      <c r="C5" s="186">
        <v>7400</v>
      </c>
      <c r="E5" s="270">
        <v>42341</v>
      </c>
      <c r="F5" s="161">
        <v>24</v>
      </c>
      <c r="G5" s="186">
        <v>5690</v>
      </c>
    </row>
    <row r="6" spans="1:8" x14ac:dyDescent="0.2">
      <c r="A6" s="238">
        <v>42322</v>
      </c>
      <c r="B6" s="161">
        <v>43</v>
      </c>
      <c r="C6" s="186">
        <v>12390</v>
      </c>
      <c r="E6" s="270">
        <v>42342</v>
      </c>
      <c r="F6" s="161">
        <v>13</v>
      </c>
      <c r="G6" s="186">
        <v>4230</v>
      </c>
    </row>
    <row r="7" spans="1:8" x14ac:dyDescent="0.2">
      <c r="A7" s="238">
        <v>42323</v>
      </c>
      <c r="B7" s="161">
        <v>45</v>
      </c>
      <c r="C7" s="186">
        <v>9150</v>
      </c>
      <c r="E7" s="270">
        <v>42343</v>
      </c>
      <c r="F7" s="161">
        <v>31</v>
      </c>
      <c r="G7" s="186">
        <v>6290</v>
      </c>
    </row>
    <row r="8" spans="1:8" x14ac:dyDescent="0.2">
      <c r="A8" s="238">
        <v>42324</v>
      </c>
      <c r="B8" s="161">
        <v>26</v>
      </c>
      <c r="C8" s="186">
        <v>3890</v>
      </c>
      <c r="E8" s="270">
        <v>42344</v>
      </c>
      <c r="F8" s="161">
        <v>32</v>
      </c>
      <c r="G8" s="186">
        <v>10135</v>
      </c>
    </row>
    <row r="9" spans="1:8" x14ac:dyDescent="0.2">
      <c r="A9" s="238">
        <v>42325</v>
      </c>
      <c r="B9" s="161">
        <v>30</v>
      </c>
      <c r="C9" s="186">
        <v>6400</v>
      </c>
      <c r="E9" s="270">
        <v>42345</v>
      </c>
      <c r="F9" s="161">
        <v>15</v>
      </c>
      <c r="G9" s="186">
        <v>4555</v>
      </c>
    </row>
    <row r="10" spans="1:8" x14ac:dyDescent="0.2">
      <c r="A10" s="238">
        <v>42326</v>
      </c>
      <c r="B10" s="161">
        <v>46</v>
      </c>
      <c r="C10" s="186">
        <v>9060</v>
      </c>
      <c r="E10" s="270">
        <v>42346</v>
      </c>
      <c r="F10" s="161">
        <v>34</v>
      </c>
      <c r="G10" s="186">
        <v>7836</v>
      </c>
    </row>
    <row r="11" spans="1:8" x14ac:dyDescent="0.2">
      <c r="A11" s="238">
        <v>42327</v>
      </c>
      <c r="B11" s="161">
        <v>48</v>
      </c>
      <c r="C11" s="186">
        <v>10005</v>
      </c>
      <c r="E11" s="270">
        <v>42347</v>
      </c>
      <c r="F11" s="161">
        <v>30</v>
      </c>
      <c r="G11" s="186">
        <v>12155</v>
      </c>
    </row>
    <row r="12" spans="1:8" x14ac:dyDescent="0.2">
      <c r="A12" s="238">
        <v>42328</v>
      </c>
      <c r="B12" s="161">
        <v>49</v>
      </c>
      <c r="C12" s="186">
        <v>11801</v>
      </c>
      <c r="E12" s="270">
        <v>42348</v>
      </c>
      <c r="F12" s="161">
        <v>24</v>
      </c>
      <c r="H12">
        <v>9864</v>
      </c>
    </row>
    <row r="13" spans="1:8" x14ac:dyDescent="0.2">
      <c r="A13" s="262">
        <v>42329</v>
      </c>
      <c r="B13" s="35">
        <v>38</v>
      </c>
      <c r="C13" s="206">
        <v>8755</v>
      </c>
      <c r="E13" s="270">
        <v>42349</v>
      </c>
    </row>
    <row r="14" spans="1:8" x14ac:dyDescent="0.2">
      <c r="A14" s="262">
        <v>42330</v>
      </c>
      <c r="B14" s="35">
        <v>65</v>
      </c>
      <c r="C14" s="206">
        <v>11915</v>
      </c>
      <c r="E14" s="270">
        <v>42350</v>
      </c>
    </row>
    <row r="15" spans="1:8" x14ac:dyDescent="0.2">
      <c r="A15" s="262">
        <v>42331</v>
      </c>
      <c r="B15" s="35">
        <v>19</v>
      </c>
      <c r="C15" s="206">
        <v>4495</v>
      </c>
      <c r="E15" s="270">
        <v>42351</v>
      </c>
    </row>
    <row r="16" spans="1:8" x14ac:dyDescent="0.2">
      <c r="A16" s="262">
        <v>42332</v>
      </c>
      <c r="B16" s="35">
        <v>23</v>
      </c>
      <c r="C16" s="206">
        <v>5155</v>
      </c>
      <c r="E16" s="270">
        <v>42352</v>
      </c>
    </row>
    <row r="17" spans="1:7" x14ac:dyDescent="0.2">
      <c r="A17" s="262">
        <v>42333</v>
      </c>
      <c r="B17" s="35">
        <v>26</v>
      </c>
      <c r="C17" s="206">
        <v>8085</v>
      </c>
      <c r="E17" s="270">
        <v>42353</v>
      </c>
    </row>
    <row r="18" spans="1:7" x14ac:dyDescent="0.2">
      <c r="A18" s="262">
        <v>42334</v>
      </c>
      <c r="B18" s="35">
        <v>31</v>
      </c>
      <c r="C18" s="206">
        <v>7535</v>
      </c>
      <c r="E18" s="270">
        <v>42354</v>
      </c>
    </row>
    <row r="19" spans="1:7" x14ac:dyDescent="0.2">
      <c r="A19" s="262">
        <v>42335</v>
      </c>
      <c r="B19" s="35">
        <v>60</v>
      </c>
      <c r="C19" s="206">
        <v>13705</v>
      </c>
      <c r="E19" s="270">
        <v>42355</v>
      </c>
    </row>
    <row r="20" spans="1:7" x14ac:dyDescent="0.2">
      <c r="A20" s="262">
        <v>42336</v>
      </c>
      <c r="B20" s="35">
        <v>60</v>
      </c>
      <c r="C20" s="206">
        <v>11640</v>
      </c>
      <c r="D20" s="186"/>
      <c r="E20" s="270">
        <v>42356</v>
      </c>
    </row>
    <row r="21" spans="1:7" x14ac:dyDescent="0.2">
      <c r="A21" s="262">
        <v>42337</v>
      </c>
      <c r="B21" s="35">
        <v>56</v>
      </c>
      <c r="C21" s="206">
        <v>10806</v>
      </c>
      <c r="D21" s="186"/>
      <c r="E21" s="270">
        <v>42357</v>
      </c>
    </row>
    <row r="22" spans="1:7" x14ac:dyDescent="0.2">
      <c r="A22" s="262">
        <v>42338</v>
      </c>
      <c r="B22" s="35">
        <v>39</v>
      </c>
      <c r="C22" s="206">
        <v>8975</v>
      </c>
      <c r="E22" s="270">
        <v>42358</v>
      </c>
    </row>
    <row r="23" spans="1:7" x14ac:dyDescent="0.2">
      <c r="A23" s="262"/>
      <c r="B23" s="35"/>
      <c r="C23" s="206"/>
    </row>
    <row r="24" spans="1:7" s="3" customFormat="1" ht="19" x14ac:dyDescent="0.25">
      <c r="A24" s="239" t="s">
        <v>240</v>
      </c>
      <c r="B24" s="160"/>
      <c r="C24" s="163">
        <f>SUM(C3:C22)</f>
        <v>169932</v>
      </c>
      <c r="E24" s="239" t="s">
        <v>240</v>
      </c>
      <c r="F24" s="160"/>
      <c r="G24" s="163">
        <f>SUM(G3:G22)</f>
        <v>61786</v>
      </c>
    </row>
    <row r="26" spans="1:7" s="268" customFormat="1" ht="21" x14ac:dyDescent="0.25">
      <c r="A26" s="272" t="s">
        <v>26</v>
      </c>
      <c r="B26" s="273">
        <f>C24+G24</f>
        <v>231718</v>
      </c>
      <c r="C26" s="267"/>
      <c r="E26" s="271"/>
      <c r="F26" s="271"/>
      <c r="G26" s="267"/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pane ySplit="1" topLeftCell="A2" activePane="bottomLeft" state="frozen"/>
      <selection pane="bottomLeft" activeCell="N27" sqref="A16:N27"/>
    </sheetView>
  </sheetViews>
  <sheetFormatPr baseColWidth="10" defaultColWidth="8.83203125" defaultRowHeight="15" x14ac:dyDescent="0.2"/>
  <cols>
    <col min="1" max="1" width="16.33203125" customWidth="1"/>
    <col min="2" max="2" width="11.5" style="413" customWidth="1"/>
    <col min="10" max="10" width="26.33203125" customWidth="1"/>
  </cols>
  <sheetData>
    <row r="1" spans="1:10" s="394" customFormat="1" ht="30" customHeight="1" thickTop="1" thickBot="1" x14ac:dyDescent="0.25">
      <c r="A1" s="421" t="s">
        <v>322</v>
      </c>
      <c r="B1" s="422" t="s">
        <v>323</v>
      </c>
      <c r="C1" s="421" t="s">
        <v>324</v>
      </c>
      <c r="D1" s="421"/>
      <c r="E1" s="421"/>
      <c r="F1" s="421"/>
      <c r="G1" s="421"/>
      <c r="H1" s="421"/>
      <c r="I1" s="421"/>
      <c r="J1" s="421" t="s">
        <v>325</v>
      </c>
    </row>
    <row r="2" spans="1:10" s="394" customFormat="1" ht="32" thickTop="1" thickBot="1" x14ac:dyDescent="0.25">
      <c r="A2" s="421"/>
      <c r="B2" s="422"/>
      <c r="C2" s="395" t="s">
        <v>229</v>
      </c>
      <c r="D2" s="395" t="s">
        <v>232</v>
      </c>
      <c r="E2" s="395" t="s">
        <v>230</v>
      </c>
      <c r="F2" s="395" t="s">
        <v>233</v>
      </c>
      <c r="G2" s="395" t="s">
        <v>231</v>
      </c>
      <c r="H2" s="395" t="s">
        <v>326</v>
      </c>
      <c r="I2" s="395" t="s">
        <v>327</v>
      </c>
      <c r="J2" s="421"/>
    </row>
    <row r="3" spans="1:10" ht="17" thickTop="1" thickBot="1" x14ac:dyDescent="0.25">
      <c r="A3" s="396">
        <v>42297</v>
      </c>
      <c r="B3" s="397">
        <v>600</v>
      </c>
      <c r="C3" s="398">
        <v>33</v>
      </c>
      <c r="D3" s="398"/>
      <c r="E3" s="398"/>
      <c r="F3" s="398"/>
      <c r="G3" s="398"/>
      <c r="H3" s="398"/>
      <c r="I3" s="398"/>
      <c r="J3" s="398" t="s">
        <v>328</v>
      </c>
    </row>
    <row r="4" spans="1:10" ht="17" thickTop="1" thickBot="1" x14ac:dyDescent="0.25">
      <c r="A4" s="396">
        <v>42300</v>
      </c>
      <c r="B4" s="397">
        <v>1125</v>
      </c>
      <c r="C4" s="398">
        <v>45</v>
      </c>
      <c r="D4" s="398"/>
      <c r="E4" s="398"/>
      <c r="F4" s="398"/>
      <c r="G4" s="398"/>
      <c r="H4" s="398"/>
      <c r="I4" s="398"/>
      <c r="J4" s="398" t="s">
        <v>329</v>
      </c>
    </row>
    <row r="5" spans="1:10" ht="17" thickTop="1" thickBot="1" x14ac:dyDescent="0.25">
      <c r="A5" s="396">
        <v>42300</v>
      </c>
      <c r="B5" s="397">
        <v>387.5</v>
      </c>
      <c r="C5" s="398"/>
      <c r="D5" s="398"/>
      <c r="E5" s="398"/>
      <c r="F5" s="398"/>
      <c r="G5" s="398"/>
      <c r="H5" s="398"/>
      <c r="I5" s="398">
        <v>9</v>
      </c>
      <c r="J5" s="398" t="s">
        <v>329</v>
      </c>
    </row>
    <row r="6" spans="1:10" ht="17" thickTop="1" thickBot="1" x14ac:dyDescent="0.25">
      <c r="A6" s="396">
        <v>42305</v>
      </c>
      <c r="B6" s="397">
        <v>600</v>
      </c>
      <c r="C6" s="398"/>
      <c r="D6" s="398"/>
      <c r="E6" s="398">
        <v>100</v>
      </c>
      <c r="F6" s="398"/>
      <c r="G6" s="398"/>
      <c r="H6" s="398">
        <v>50</v>
      </c>
      <c r="I6" s="398"/>
      <c r="J6" s="398" t="s">
        <v>328</v>
      </c>
    </row>
    <row r="7" spans="1:10" ht="17" thickTop="1" thickBot="1" x14ac:dyDescent="0.25">
      <c r="A7" s="396">
        <v>42315</v>
      </c>
      <c r="B7" s="397">
        <v>120</v>
      </c>
      <c r="C7" s="398">
        <v>2</v>
      </c>
      <c r="D7" s="398"/>
      <c r="E7" s="398"/>
      <c r="F7" s="398"/>
      <c r="G7" s="398"/>
      <c r="H7" s="398"/>
      <c r="I7" s="398">
        <v>2</v>
      </c>
      <c r="J7" s="398" t="s">
        <v>328</v>
      </c>
    </row>
    <row r="8" spans="1:10" ht="17" thickTop="1" thickBot="1" x14ac:dyDescent="0.25">
      <c r="A8" s="396">
        <v>42317</v>
      </c>
      <c r="B8" s="397">
        <v>600</v>
      </c>
      <c r="C8" s="398">
        <v>25</v>
      </c>
      <c r="D8" s="398"/>
      <c r="E8" s="398">
        <v>20</v>
      </c>
      <c r="F8" s="398"/>
      <c r="G8" s="398"/>
      <c r="H8" s="398"/>
      <c r="I8" s="398">
        <v>3</v>
      </c>
      <c r="J8" s="398" t="s">
        <v>328</v>
      </c>
    </row>
    <row r="9" spans="1:10" ht="17" thickTop="1" thickBot="1" x14ac:dyDescent="0.25">
      <c r="A9" s="396">
        <v>42320</v>
      </c>
      <c r="B9" s="397">
        <v>600</v>
      </c>
      <c r="C9" s="398"/>
      <c r="D9" s="398">
        <v>30</v>
      </c>
      <c r="E9" s="398"/>
      <c r="F9" s="398"/>
      <c r="G9" s="398"/>
      <c r="H9" s="398"/>
      <c r="I9" s="398"/>
      <c r="J9" s="398" t="s">
        <v>328</v>
      </c>
    </row>
    <row r="10" spans="1:10" ht="17" thickTop="1" thickBot="1" x14ac:dyDescent="0.25">
      <c r="A10" s="396">
        <v>42321</v>
      </c>
      <c r="B10" s="397">
        <v>500</v>
      </c>
      <c r="C10" s="398"/>
      <c r="D10" s="398"/>
      <c r="E10" s="398"/>
      <c r="F10" s="398">
        <v>20</v>
      </c>
      <c r="G10" s="398">
        <v>20</v>
      </c>
      <c r="H10" s="398"/>
      <c r="I10" s="398"/>
      <c r="J10" s="398" t="s">
        <v>328</v>
      </c>
    </row>
    <row r="11" spans="1:10" ht="17" thickTop="1" thickBot="1" x14ac:dyDescent="0.25">
      <c r="A11" s="396">
        <v>42322</v>
      </c>
      <c r="B11" s="397">
        <v>850</v>
      </c>
      <c r="C11" s="398">
        <v>50</v>
      </c>
      <c r="D11" s="398"/>
      <c r="E11" s="398"/>
      <c r="F11" s="398"/>
      <c r="G11" s="398"/>
      <c r="H11" s="398"/>
      <c r="I11" s="398"/>
      <c r="J11" s="398" t="s">
        <v>328</v>
      </c>
    </row>
    <row r="12" spans="1:10" ht="17" thickTop="1" thickBot="1" x14ac:dyDescent="0.25">
      <c r="A12" s="396">
        <v>42323</v>
      </c>
      <c r="B12" s="397">
        <v>1450</v>
      </c>
      <c r="C12" s="398">
        <v>30</v>
      </c>
      <c r="D12" s="398">
        <v>30</v>
      </c>
      <c r="E12" s="398">
        <v>20</v>
      </c>
      <c r="F12" s="398"/>
      <c r="G12" s="398"/>
      <c r="H12" s="398"/>
      <c r="I12" s="398"/>
      <c r="J12" s="398" t="s">
        <v>328</v>
      </c>
    </row>
    <row r="13" spans="1:10" ht="17" thickTop="1" thickBot="1" x14ac:dyDescent="0.25">
      <c r="A13" s="396">
        <v>42324</v>
      </c>
      <c r="B13" s="397">
        <v>1500</v>
      </c>
      <c r="C13" s="398">
        <v>25</v>
      </c>
      <c r="D13" s="398">
        <v>30</v>
      </c>
      <c r="E13" s="398"/>
      <c r="F13" s="398">
        <v>30</v>
      </c>
      <c r="G13" s="398"/>
      <c r="H13" s="398"/>
      <c r="I13" s="398"/>
      <c r="J13" s="398" t="s">
        <v>328</v>
      </c>
    </row>
    <row r="14" spans="1:10" s="403" customFormat="1" ht="32" thickTop="1" thickBot="1" x14ac:dyDescent="0.25">
      <c r="A14" s="399">
        <v>42325</v>
      </c>
      <c r="B14" s="400">
        <v>1000</v>
      </c>
      <c r="C14" s="401">
        <v>10</v>
      </c>
      <c r="D14" s="401"/>
      <c r="E14" s="401">
        <v>74</v>
      </c>
      <c r="F14" s="401"/>
      <c r="G14" s="401">
        <v>30</v>
      </c>
      <c r="H14" s="401"/>
      <c r="I14" s="401"/>
      <c r="J14" s="402" t="s">
        <v>330</v>
      </c>
    </row>
    <row r="15" spans="1:10" s="403" customFormat="1" ht="32" thickTop="1" thickBot="1" x14ac:dyDescent="0.25">
      <c r="A15" s="399">
        <v>42327</v>
      </c>
      <c r="B15" s="400">
        <v>2400</v>
      </c>
      <c r="C15" s="401">
        <v>45</v>
      </c>
      <c r="D15" s="401" t="s">
        <v>331</v>
      </c>
      <c r="E15" s="401">
        <v>30</v>
      </c>
      <c r="F15" s="401">
        <v>40</v>
      </c>
      <c r="G15" s="401">
        <v>13</v>
      </c>
      <c r="H15" s="401"/>
      <c r="I15" s="401"/>
      <c r="J15" s="402" t="s">
        <v>330</v>
      </c>
    </row>
    <row r="16" spans="1:10" ht="17" thickTop="1" thickBot="1" x14ac:dyDescent="0.25">
      <c r="A16" s="396">
        <v>42328</v>
      </c>
      <c r="B16" s="397">
        <v>840</v>
      </c>
      <c r="C16" s="398">
        <v>20</v>
      </c>
      <c r="D16" s="398">
        <v>25</v>
      </c>
      <c r="E16" s="398"/>
      <c r="F16" s="398"/>
      <c r="G16" s="398"/>
      <c r="H16" s="398"/>
      <c r="I16" s="398"/>
      <c r="J16" s="398" t="s">
        <v>328</v>
      </c>
    </row>
    <row r="17" spans="1:10" ht="17" thickTop="1" thickBot="1" x14ac:dyDescent="0.25">
      <c r="A17" s="396">
        <v>42329</v>
      </c>
      <c r="B17" s="397">
        <v>1500</v>
      </c>
      <c r="C17" s="398">
        <v>24</v>
      </c>
      <c r="D17" s="398">
        <v>22</v>
      </c>
      <c r="E17" s="398">
        <v>28</v>
      </c>
      <c r="F17" s="398">
        <v>32</v>
      </c>
      <c r="G17" s="398">
        <v>23</v>
      </c>
      <c r="H17" s="398"/>
      <c r="I17" s="398"/>
      <c r="J17" s="398" t="s">
        <v>328</v>
      </c>
    </row>
    <row r="18" spans="1:10" ht="17" thickTop="1" thickBot="1" x14ac:dyDescent="0.25">
      <c r="A18" s="396">
        <v>42329</v>
      </c>
      <c r="B18" s="397">
        <v>475</v>
      </c>
      <c r="C18" s="398"/>
      <c r="D18" s="398"/>
      <c r="E18" s="398"/>
      <c r="F18" s="398"/>
      <c r="G18" s="398">
        <v>20</v>
      </c>
      <c r="H18" s="398"/>
      <c r="I18" s="398"/>
      <c r="J18" s="398" t="s">
        <v>329</v>
      </c>
    </row>
    <row r="19" spans="1:10" ht="17" thickTop="1" thickBot="1" x14ac:dyDescent="0.25">
      <c r="A19" s="396">
        <v>42330</v>
      </c>
      <c r="B19" s="397">
        <v>290</v>
      </c>
      <c r="C19" s="398"/>
      <c r="D19" s="398"/>
      <c r="E19" s="398"/>
      <c r="F19" s="398"/>
      <c r="G19" s="398"/>
      <c r="H19" s="398">
        <v>17</v>
      </c>
      <c r="I19" s="398"/>
      <c r="J19" s="398" t="s">
        <v>329</v>
      </c>
    </row>
    <row r="20" spans="1:10" ht="17" thickTop="1" thickBot="1" x14ac:dyDescent="0.25">
      <c r="A20" s="396">
        <v>42332</v>
      </c>
      <c r="B20" s="397">
        <v>1240</v>
      </c>
      <c r="C20" s="398">
        <v>20</v>
      </c>
      <c r="D20" s="398">
        <v>25</v>
      </c>
      <c r="E20" s="398">
        <v>20</v>
      </c>
      <c r="F20" s="398">
        <v>20</v>
      </c>
      <c r="G20" s="398">
        <v>10</v>
      </c>
      <c r="H20" s="398"/>
      <c r="I20" s="398"/>
      <c r="J20" s="398" t="s">
        <v>328</v>
      </c>
    </row>
    <row r="21" spans="1:10" ht="17" thickTop="1" thickBot="1" x14ac:dyDescent="0.25">
      <c r="A21" s="396">
        <v>42333</v>
      </c>
      <c r="B21" s="404">
        <v>1500</v>
      </c>
      <c r="C21" s="398">
        <v>25</v>
      </c>
      <c r="D21" s="398">
        <v>35</v>
      </c>
      <c r="E21" s="398"/>
      <c r="F21" s="398">
        <v>10</v>
      </c>
      <c r="G21" s="398">
        <v>15</v>
      </c>
      <c r="H21" s="398"/>
      <c r="I21" s="398"/>
      <c r="J21" s="398" t="s">
        <v>328</v>
      </c>
    </row>
    <row r="22" spans="1:10" ht="17" thickTop="1" thickBot="1" x14ac:dyDescent="0.25">
      <c r="A22" s="396">
        <v>42334</v>
      </c>
      <c r="B22" s="404">
        <v>2430</v>
      </c>
      <c r="C22" s="398">
        <v>52</v>
      </c>
      <c r="D22" s="398">
        <v>16</v>
      </c>
      <c r="E22" s="398">
        <v>28</v>
      </c>
      <c r="F22" s="398">
        <v>25</v>
      </c>
      <c r="G22" s="398">
        <v>25</v>
      </c>
      <c r="H22" s="398"/>
      <c r="I22" s="398"/>
      <c r="J22" s="398" t="s">
        <v>328</v>
      </c>
    </row>
    <row r="23" spans="1:10" ht="17" thickTop="1" thickBot="1" x14ac:dyDescent="0.25">
      <c r="A23" s="396">
        <v>42335</v>
      </c>
      <c r="B23" s="404">
        <v>1250</v>
      </c>
      <c r="C23" s="398">
        <v>20</v>
      </c>
      <c r="D23" s="398">
        <v>20</v>
      </c>
      <c r="E23" s="398">
        <v>30</v>
      </c>
      <c r="F23" s="398"/>
      <c r="G23" s="398">
        <v>10</v>
      </c>
      <c r="H23" s="398"/>
      <c r="I23" s="398"/>
      <c r="J23" s="398" t="s">
        <v>328</v>
      </c>
    </row>
    <row r="24" spans="1:10" ht="17" thickTop="1" thickBot="1" x14ac:dyDescent="0.25">
      <c r="A24" s="396">
        <v>42336</v>
      </c>
      <c r="B24" s="404">
        <v>950</v>
      </c>
      <c r="C24" s="398">
        <v>20</v>
      </c>
      <c r="D24" s="398"/>
      <c r="E24" s="398"/>
      <c r="F24" s="398">
        <v>20</v>
      </c>
      <c r="G24" s="398">
        <v>15</v>
      </c>
      <c r="H24" s="398"/>
      <c r="I24" s="398"/>
      <c r="J24" s="398" t="s">
        <v>328</v>
      </c>
    </row>
    <row r="25" spans="1:10" ht="17" thickTop="1" thickBot="1" x14ac:dyDescent="0.25">
      <c r="A25" s="396">
        <v>42337</v>
      </c>
      <c r="B25" s="404">
        <v>1850</v>
      </c>
      <c r="C25" s="398">
        <v>21</v>
      </c>
      <c r="D25" s="398">
        <v>50</v>
      </c>
      <c r="E25" s="398">
        <v>30</v>
      </c>
      <c r="F25" s="398"/>
      <c r="G25" s="398">
        <v>25</v>
      </c>
      <c r="H25" s="398"/>
      <c r="I25" s="398"/>
      <c r="J25" s="398" t="s">
        <v>328</v>
      </c>
    </row>
    <row r="26" spans="1:10" ht="17" thickTop="1" thickBot="1" x14ac:dyDescent="0.25">
      <c r="A26" s="396">
        <v>42339</v>
      </c>
      <c r="B26" s="404">
        <v>1340</v>
      </c>
      <c r="C26" s="398">
        <v>25</v>
      </c>
      <c r="D26" s="398">
        <v>20</v>
      </c>
      <c r="E26" s="398"/>
      <c r="F26" s="398"/>
      <c r="G26" s="398">
        <v>20</v>
      </c>
      <c r="H26" s="398"/>
      <c r="I26" s="398"/>
      <c r="J26" s="398" t="s">
        <v>328</v>
      </c>
    </row>
    <row r="27" spans="1:10" ht="17" thickTop="1" thickBot="1" x14ac:dyDescent="0.25">
      <c r="A27" s="396">
        <v>42344</v>
      </c>
      <c r="B27" s="404">
        <v>800</v>
      </c>
      <c r="C27" s="398"/>
      <c r="D27" s="398">
        <v>25</v>
      </c>
      <c r="E27" s="398">
        <v>10</v>
      </c>
      <c r="F27" s="398">
        <v>15</v>
      </c>
      <c r="G27" s="398"/>
      <c r="H27" s="398">
        <v>8</v>
      </c>
      <c r="I27" s="398"/>
      <c r="J27" s="398" t="s">
        <v>328</v>
      </c>
    </row>
    <row r="28" spans="1:10" ht="17" thickTop="1" thickBot="1" x14ac:dyDescent="0.25">
      <c r="A28" s="396">
        <v>42345</v>
      </c>
      <c r="B28" s="404">
        <v>1340</v>
      </c>
      <c r="C28" s="398">
        <v>28</v>
      </c>
      <c r="D28" s="398">
        <v>25</v>
      </c>
      <c r="E28" s="398">
        <v>20</v>
      </c>
      <c r="F28" s="398"/>
      <c r="G28" s="398">
        <v>18</v>
      </c>
      <c r="H28" s="398"/>
      <c r="I28" s="398"/>
      <c r="J28" s="398" t="s">
        <v>328</v>
      </c>
    </row>
    <row r="29" spans="1:10" ht="17" thickTop="1" thickBot="1" x14ac:dyDescent="0.25">
      <c r="A29" s="396">
        <v>42346</v>
      </c>
      <c r="B29" s="404">
        <v>800</v>
      </c>
      <c r="C29" s="398">
        <v>13</v>
      </c>
      <c r="D29" s="398">
        <v>12</v>
      </c>
      <c r="E29" s="398"/>
      <c r="F29" s="398"/>
      <c r="G29" s="398"/>
      <c r="H29" s="398"/>
      <c r="I29" s="398"/>
      <c r="J29" s="398" t="s">
        <v>328</v>
      </c>
    </row>
    <row r="30" spans="1:10" ht="17" thickTop="1" thickBot="1" x14ac:dyDescent="0.25">
      <c r="A30" s="396">
        <v>42348</v>
      </c>
      <c r="B30" s="404">
        <v>2950</v>
      </c>
      <c r="C30" s="398">
        <v>55</v>
      </c>
      <c r="D30" s="398">
        <v>39</v>
      </c>
      <c r="E30" s="398">
        <v>30</v>
      </c>
      <c r="F30" s="398">
        <v>55</v>
      </c>
      <c r="G30" s="398">
        <v>10</v>
      </c>
      <c r="H30" s="398">
        <v>15</v>
      </c>
      <c r="I30" s="398"/>
      <c r="J30" s="398" t="s">
        <v>328</v>
      </c>
    </row>
    <row r="31" spans="1:10" s="283" customFormat="1" ht="17" thickTop="1" thickBot="1" x14ac:dyDescent="0.25">
      <c r="A31" s="405"/>
      <c r="B31" s="406"/>
      <c r="C31" s="407"/>
      <c r="D31" s="407"/>
      <c r="E31" s="407"/>
      <c r="F31" s="407"/>
      <c r="G31" s="407"/>
      <c r="H31" s="407"/>
      <c r="I31" s="407"/>
      <c r="J31" s="407"/>
    </row>
    <row r="32" spans="1:10" s="411" customFormat="1" ht="18" thickTop="1" thickBot="1" x14ac:dyDescent="0.25">
      <c r="A32" s="408" t="s">
        <v>10</v>
      </c>
      <c r="B32" s="409">
        <f>SUM(B3:B30)</f>
        <v>31287.5</v>
      </c>
      <c r="C32" s="409"/>
      <c r="D32" s="409"/>
      <c r="E32" s="409"/>
      <c r="F32" s="409"/>
      <c r="G32" s="409"/>
      <c r="H32" s="409"/>
      <c r="I32" s="409"/>
      <c r="J32" s="410"/>
    </row>
    <row r="33" spans="1:10" s="283" customFormat="1" ht="16" thickTop="1" x14ac:dyDescent="0.2">
      <c r="A33" s="405"/>
      <c r="B33" s="406"/>
      <c r="C33" s="407"/>
      <c r="D33" s="407"/>
      <c r="E33" s="407"/>
      <c r="F33" s="407"/>
      <c r="G33" s="407"/>
      <c r="H33" s="407"/>
      <c r="I33" s="407"/>
      <c r="J33" s="407"/>
    </row>
    <row r="34" spans="1:10" x14ac:dyDescent="0.2">
      <c r="A34" s="412" t="s">
        <v>124</v>
      </c>
    </row>
    <row r="35" spans="1:10" x14ac:dyDescent="0.2">
      <c r="A35" t="s">
        <v>332</v>
      </c>
    </row>
  </sheetData>
  <mergeCells count="4">
    <mergeCell ref="A1:A2"/>
    <mergeCell ref="B1:B2"/>
    <mergeCell ref="C1:I1"/>
    <mergeCell ref="J1:J2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</vt:lpstr>
      <vt:lpstr>Summary breakdown</vt:lpstr>
      <vt:lpstr>expense logsheet</vt:lpstr>
      <vt:lpstr>Mont Albo</vt:lpstr>
      <vt:lpstr>Greenfield</vt:lpstr>
      <vt:lpstr>Carmie</vt:lpstr>
      <vt:lpstr>Kuya Tommy</vt:lpstr>
      <vt:lpstr>SPA Income</vt:lpstr>
      <vt:lpstr>Laundry</vt:lpstr>
      <vt:lpstr>BOD Credit Details</vt:lpstr>
      <vt:lpstr>BODs Expenses</vt:lpstr>
      <vt:lpstr>Kuya Maynard</vt:lpstr>
    </vt:vector>
  </TitlesOfParts>
  <Company>Seagate Technology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Millete Mendoza San Juan</dc:creator>
  <cp:lastModifiedBy>Microsoft Office User</cp:lastModifiedBy>
  <cp:lastPrinted>2015-09-19T06:52:57Z</cp:lastPrinted>
  <dcterms:created xsi:type="dcterms:W3CDTF">2015-05-06T05:51:34Z</dcterms:created>
  <dcterms:modified xsi:type="dcterms:W3CDTF">2015-12-11T12:51:57Z</dcterms:modified>
</cp:coreProperties>
</file>