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65" windowWidth="15480" windowHeight="8445"/>
  </bookViews>
  <sheets>
    <sheet name="Instructions" sheetId="5" r:id="rId1"/>
    <sheet name="FASA to Decipher" sheetId="6" r:id="rId2"/>
    <sheet name="Example Ship" sheetId="1" r:id="rId3"/>
    <sheet name="Stat Sheet (linked to example)" sheetId="4" r:id="rId4"/>
    <sheet name="Ship Component Analysis" sheetId="2" r:id="rId5"/>
    <sheet name="Shield Analysis" sheetId="3" r:id="rId6"/>
  </sheets>
  <calcPr calcId="145621"/>
</workbook>
</file>

<file path=xl/calcChain.xml><?xml version="1.0" encoding="utf-8"?>
<calcChain xmlns="http://schemas.openxmlformats.org/spreadsheetml/2006/main">
  <c r="B85" i="6" l="1"/>
  <c r="F149" i="6"/>
  <c r="B149" i="6"/>
  <c r="F148" i="6"/>
  <c r="B148" i="6"/>
  <c r="B146" i="6"/>
  <c r="B145" i="6"/>
  <c r="B144" i="6"/>
  <c r="C144" i="6" s="1"/>
  <c r="B143" i="6"/>
  <c r="B139" i="6"/>
  <c r="B138" i="6"/>
  <c r="B135" i="6"/>
  <c r="B134" i="6"/>
  <c r="C131" i="6"/>
  <c r="B131" i="6"/>
  <c r="B130" i="6"/>
  <c r="D127" i="6"/>
  <c r="E126" i="6"/>
  <c r="D126" i="6"/>
  <c r="B124" i="6"/>
  <c r="B123" i="6"/>
  <c r="D122" i="6"/>
  <c r="B122" i="6"/>
  <c r="D121" i="6"/>
  <c r="B121" i="6" s="1"/>
  <c r="I120" i="6"/>
  <c r="B120" i="6"/>
  <c r="B119" i="6"/>
  <c r="B112" i="6"/>
  <c r="B108" i="6"/>
  <c r="C108" i="6" s="1"/>
  <c r="D107" i="6"/>
  <c r="B107" i="6"/>
  <c r="B113" i="6" s="1"/>
  <c r="C113" i="6" s="1"/>
  <c r="D106" i="6"/>
  <c r="B106" i="6"/>
  <c r="L105" i="6"/>
  <c r="L104" i="6"/>
  <c r="L103" i="6"/>
  <c r="L102" i="6"/>
  <c r="L101" i="6"/>
  <c r="L100" i="6"/>
  <c r="L99" i="6"/>
  <c r="L98" i="6"/>
  <c r="L97" i="6"/>
  <c r="L96" i="6"/>
  <c r="B96" i="6"/>
  <c r="L95" i="6"/>
  <c r="B95" i="6"/>
  <c r="B94" i="6"/>
  <c r="C94" i="6" s="1"/>
  <c r="D93" i="6"/>
  <c r="B93" i="6"/>
  <c r="B98" i="6" s="1"/>
  <c r="C98" i="6" s="1"/>
  <c r="D92" i="6"/>
  <c r="B92" i="6" s="1"/>
  <c r="L91" i="6"/>
  <c r="L90" i="6"/>
  <c r="L89" i="6"/>
  <c r="L88" i="6"/>
  <c r="K108" i="6" s="1"/>
  <c r="L87" i="6"/>
  <c r="L86" i="6"/>
  <c r="B86" i="6"/>
  <c r="L85" i="6"/>
  <c r="L84" i="6"/>
  <c r="B84" i="6"/>
  <c r="C84" i="6" s="1"/>
  <c r="L83" i="6"/>
  <c r="D83" i="6"/>
  <c r="B83" i="6" s="1"/>
  <c r="B88" i="6" s="1"/>
  <c r="C88" i="6" s="1"/>
  <c r="L78" i="6"/>
  <c r="L77" i="6"/>
  <c r="L76" i="6"/>
  <c r="L75" i="6"/>
  <c r="L74" i="6"/>
  <c r="B74" i="6"/>
  <c r="C74" i="6" s="1"/>
  <c r="L73" i="6"/>
  <c r="L72" i="6"/>
  <c r="B72" i="6"/>
  <c r="L71" i="6"/>
  <c r="B71" i="6"/>
  <c r="L70" i="6"/>
  <c r="L69" i="6"/>
  <c r="B69" i="6"/>
  <c r="C69" i="6" s="1"/>
  <c r="D68" i="6"/>
  <c r="B68" i="6"/>
  <c r="B75" i="6" s="1"/>
  <c r="C75" i="6" s="1"/>
  <c r="D67" i="6"/>
  <c r="B67" i="6" s="1"/>
  <c r="L65" i="6"/>
  <c r="L64" i="6"/>
  <c r="L63" i="6"/>
  <c r="B39" i="6" s="1"/>
  <c r="L62" i="6"/>
  <c r="AK61" i="6"/>
  <c r="L61" i="6"/>
  <c r="AK60" i="6"/>
  <c r="L60" i="6"/>
  <c r="B60" i="6"/>
  <c r="AK59" i="6"/>
  <c r="L59" i="6"/>
  <c r="B59" i="6"/>
  <c r="AK58" i="6"/>
  <c r="B57" i="6"/>
  <c r="C57" i="6" s="1"/>
  <c r="AK56" i="6"/>
  <c r="D56" i="6"/>
  <c r="B56" i="6" s="1"/>
  <c r="AK55" i="6"/>
  <c r="D55" i="6"/>
  <c r="B55" i="6" s="1"/>
  <c r="AK54" i="6"/>
  <c r="AK53" i="6"/>
  <c r="L53" i="6"/>
  <c r="AK52" i="6"/>
  <c r="L52" i="6"/>
  <c r="L51" i="6"/>
  <c r="B51" i="6"/>
  <c r="AK50" i="6"/>
  <c r="L50" i="6"/>
  <c r="B50" i="6"/>
  <c r="AK49" i="6"/>
  <c r="B49" i="6"/>
  <c r="C49" i="6" s="1"/>
  <c r="AK48" i="6"/>
  <c r="B48" i="6"/>
  <c r="AK47" i="6"/>
  <c r="AK46" i="6"/>
  <c r="Z46" i="6"/>
  <c r="AK45" i="6"/>
  <c r="Z45" i="6"/>
  <c r="L45" i="6"/>
  <c r="B19" i="6" s="1"/>
  <c r="Z44" i="6"/>
  <c r="L44" i="6"/>
  <c r="AK43" i="6"/>
  <c r="Z43" i="6"/>
  <c r="L43" i="6"/>
  <c r="B43" i="6"/>
  <c r="AK42" i="6"/>
  <c r="Z42" i="6"/>
  <c r="I112" i="6" s="1"/>
  <c r="B142" i="6" s="1"/>
  <c r="L42" i="6"/>
  <c r="B42" i="6"/>
  <c r="AK41" i="6"/>
  <c r="B41" i="6"/>
  <c r="C41" i="6" s="1"/>
  <c r="P40" i="6"/>
  <c r="B40" i="6"/>
  <c r="AK39" i="6"/>
  <c r="P39" i="6"/>
  <c r="AK38" i="6"/>
  <c r="AK37" i="6"/>
  <c r="AK35" i="6"/>
  <c r="D119" i="6" s="1"/>
  <c r="P35" i="6"/>
  <c r="AK34" i="6"/>
  <c r="B34" i="6"/>
  <c r="AK33" i="6"/>
  <c r="W33" i="6"/>
  <c r="P33" i="6"/>
  <c r="B33" i="6"/>
  <c r="AK32" i="6"/>
  <c r="W32" i="6"/>
  <c r="B32" i="6"/>
  <c r="W31" i="6"/>
  <c r="P31" i="6"/>
  <c r="B31" i="6"/>
  <c r="AK30" i="6"/>
  <c r="W30" i="6"/>
  <c r="AK29" i="6"/>
  <c r="W29" i="6"/>
  <c r="P29" i="6"/>
  <c r="D82" i="6" s="1"/>
  <c r="B82" i="6" s="1"/>
  <c r="AK28" i="6"/>
  <c r="W28" i="6"/>
  <c r="AK27" i="6"/>
  <c r="W27" i="6"/>
  <c r="AK26" i="6"/>
  <c r="W26" i="6"/>
  <c r="B26" i="6"/>
  <c r="AK25" i="6"/>
  <c r="B25" i="6"/>
  <c r="AK23" i="6"/>
  <c r="AK22" i="6"/>
  <c r="AK20" i="6"/>
  <c r="B20" i="6"/>
  <c r="AK19" i="6"/>
  <c r="P19" i="6"/>
  <c r="AK18" i="6"/>
  <c r="P17" i="6"/>
  <c r="AK16" i="6"/>
  <c r="AK15" i="6"/>
  <c r="P15" i="6"/>
  <c r="AK14" i="6"/>
  <c r="F14" i="6"/>
  <c r="B14" i="6"/>
  <c r="AK13" i="6"/>
  <c r="P13" i="6"/>
  <c r="D13" i="6"/>
  <c r="AK12" i="6"/>
  <c r="AK11" i="6"/>
  <c r="P11" i="6"/>
  <c r="AK9" i="6"/>
  <c r="P9" i="6"/>
  <c r="AK8" i="6"/>
  <c r="F8" i="6"/>
  <c r="B11" i="6" s="1"/>
  <c r="B8" i="6"/>
  <c r="I63" i="6" s="1"/>
  <c r="AK7" i="6"/>
  <c r="F7" i="6"/>
  <c r="AK6" i="6"/>
  <c r="AK5" i="6"/>
  <c r="F5" i="6"/>
  <c r="D5" i="6"/>
  <c r="AK4" i="6"/>
  <c r="F148" i="1"/>
  <c r="D13" i="1"/>
  <c r="I110" i="6" l="1"/>
  <c r="H78" i="6"/>
  <c r="B63" i="6"/>
  <c r="C63" i="6" s="1"/>
  <c r="B62" i="6"/>
  <c r="C62" i="6" s="1"/>
  <c r="B115" i="6"/>
  <c r="B116" i="6" s="1"/>
  <c r="I79" i="6"/>
  <c r="I50" i="6"/>
  <c r="I51" i="6"/>
  <c r="I54" i="6"/>
  <c r="I55" i="6"/>
  <c r="H81" i="6"/>
  <c r="B99" i="6"/>
  <c r="C99" i="6" s="1"/>
  <c r="B47" i="6"/>
  <c r="B10" i="6" s="1"/>
  <c r="I48" i="6"/>
  <c r="I49" i="6"/>
  <c r="I53" i="6"/>
  <c r="B89" i="6"/>
  <c r="C89" i="6" s="1"/>
  <c r="I46" i="6"/>
  <c r="I47" i="6"/>
  <c r="I52" i="6"/>
  <c r="I62" i="6"/>
  <c r="B49" i="1"/>
  <c r="B41" i="1"/>
  <c r="B7" i="6" l="1"/>
  <c r="B77" i="6"/>
  <c r="B78" i="6"/>
  <c r="B102" i="6"/>
  <c r="B101" i="6"/>
  <c r="B94" i="1"/>
  <c r="B84" i="1"/>
  <c r="B40" i="4" l="1"/>
  <c r="B39" i="4"/>
  <c r="B37" i="4"/>
  <c r="B36" i="4"/>
  <c r="B35" i="4"/>
  <c r="B31" i="4"/>
  <c r="B30" i="4"/>
  <c r="B26" i="4"/>
  <c r="B25" i="4"/>
  <c r="B24" i="4"/>
  <c r="B23" i="4"/>
  <c r="B22" i="4"/>
  <c r="B21" i="4"/>
  <c r="B12" i="4"/>
  <c r="B11" i="4"/>
  <c r="B10" i="4"/>
  <c r="B3" i="4"/>
  <c r="B57" i="1" l="1"/>
  <c r="C57" i="1" s="1"/>
  <c r="C94" i="1"/>
  <c r="F149" i="1"/>
  <c r="D56" i="1"/>
  <c r="B56" i="1" s="1"/>
  <c r="B144" i="1"/>
  <c r="C144" i="1" s="1"/>
  <c r="B145" i="1"/>
  <c r="B124" i="1"/>
  <c r="B123" i="1"/>
  <c r="B122" i="1"/>
  <c r="B120" i="1"/>
  <c r="D122" i="1"/>
  <c r="D121" i="1"/>
  <c r="B121" i="1" s="1"/>
  <c r="D68" i="1"/>
  <c r="B68" i="1" s="1"/>
  <c r="D93" i="1"/>
  <c r="B93" i="1" s="1"/>
  <c r="D107" i="1"/>
  <c r="B107" i="1" s="1"/>
  <c r="B108" i="1"/>
  <c r="C108" i="1" s="1"/>
  <c r="D106" i="1"/>
  <c r="B106" i="1" s="1"/>
  <c r="D67" i="1"/>
  <c r="B67" i="1" s="1"/>
  <c r="B69" i="1"/>
  <c r="C69" i="1" s="1"/>
  <c r="B72" i="1"/>
  <c r="B59" i="1"/>
  <c r="D55" i="1"/>
  <c r="B55" i="1"/>
  <c r="B51" i="1"/>
  <c r="B50" i="1"/>
  <c r="B48" i="1"/>
  <c r="B26" i="1"/>
  <c r="B20" i="1"/>
  <c r="B14" i="1"/>
  <c r="D92" i="1"/>
  <c r="B92" i="1" s="1"/>
  <c r="F8" i="1"/>
  <c r="B8" i="1" s="1"/>
  <c r="B9" i="4" s="1"/>
  <c r="F7" i="1"/>
  <c r="F5" i="1"/>
  <c r="D5" i="1"/>
  <c r="D83" i="1"/>
  <c r="B83" i="1" s="1"/>
  <c r="H81" i="1" s="1"/>
  <c r="B96" i="1"/>
  <c r="B95" i="1"/>
  <c r="P29" i="1"/>
  <c r="L63" i="1"/>
  <c r="B39" i="1" s="1"/>
  <c r="B43" i="1"/>
  <c r="B42" i="1"/>
  <c r="B40" i="1"/>
  <c r="B138" i="1"/>
  <c r="B71" i="1"/>
  <c r="B139" i="1"/>
  <c r="L44" i="1"/>
  <c r="B25" i="1" s="1"/>
  <c r="AK35" i="1"/>
  <c r="B119" i="1" s="1"/>
  <c r="Z43" i="1"/>
  <c r="Z42" i="1"/>
  <c r="I112" i="1" s="1"/>
  <c r="B142" i="1" s="1"/>
  <c r="P11" i="1"/>
  <c r="L51" i="1"/>
  <c r="B31" i="1" s="1"/>
  <c r="D82" i="1"/>
  <c r="B82" i="1" s="1"/>
  <c r="I120" i="1"/>
  <c r="D126" i="1" s="1"/>
  <c r="D127" i="1"/>
  <c r="B131" i="1"/>
  <c r="B135" i="1"/>
  <c r="B149" i="1"/>
  <c r="L88" i="1"/>
  <c r="B148" i="1"/>
  <c r="B86" i="1"/>
  <c r="B85" i="1"/>
  <c r="C84" i="1"/>
  <c r="B60" i="1"/>
  <c r="P40" i="1"/>
  <c r="P39" i="1"/>
  <c r="P31" i="1"/>
  <c r="P33" i="1"/>
  <c r="B34" i="1"/>
  <c r="B33" i="1"/>
  <c r="B32" i="1"/>
  <c r="E126" i="1"/>
  <c r="C131" i="1"/>
  <c r="L45" i="1"/>
  <c r="B19" i="1" s="1"/>
  <c r="B134" i="1"/>
  <c r="B130" i="1"/>
  <c r="P19" i="1"/>
  <c r="P17" i="1"/>
  <c r="P15" i="1"/>
  <c r="P13" i="1"/>
  <c r="P9" i="1"/>
  <c r="W26" i="1"/>
  <c r="AK4" i="1"/>
  <c r="AK5" i="1"/>
  <c r="AK6" i="1"/>
  <c r="AK7" i="1"/>
  <c r="AK8" i="1"/>
  <c r="AK9" i="1"/>
  <c r="AK11" i="1"/>
  <c r="AK12" i="1"/>
  <c r="AK13" i="1"/>
  <c r="F14" i="1"/>
  <c r="AK14" i="1"/>
  <c r="AK15" i="1"/>
  <c r="AK16" i="1"/>
  <c r="AK18" i="1"/>
  <c r="AK19" i="1"/>
  <c r="AK20" i="1"/>
  <c r="W27" i="1"/>
  <c r="AK22" i="1"/>
  <c r="W28" i="1"/>
  <c r="AK23" i="1"/>
  <c r="W29" i="1"/>
  <c r="P35" i="1"/>
  <c r="W30" i="1"/>
  <c r="AK25" i="1"/>
  <c r="W31" i="1"/>
  <c r="AK26" i="1"/>
  <c r="W32" i="1"/>
  <c r="AK27" i="1"/>
  <c r="W33" i="1"/>
  <c r="AK28" i="1"/>
  <c r="AK29" i="1"/>
  <c r="AK30" i="1"/>
  <c r="AK32" i="1"/>
  <c r="AK33" i="1"/>
  <c r="AK34" i="1"/>
  <c r="L42" i="1"/>
  <c r="AK37" i="1"/>
  <c r="L43" i="1"/>
  <c r="AK38" i="1"/>
  <c r="Z44" i="1"/>
  <c r="AK39" i="1"/>
  <c r="Z45" i="1"/>
  <c r="Z46" i="1"/>
  <c r="AK41" i="1"/>
  <c r="AK42" i="1"/>
  <c r="AK43" i="1"/>
  <c r="L50" i="1"/>
  <c r="AK45" i="1"/>
  <c r="AK46" i="1"/>
  <c r="L52" i="1"/>
  <c r="AK47" i="1"/>
  <c r="L53" i="1"/>
  <c r="AK48" i="1"/>
  <c r="L90" i="1"/>
  <c r="AK49" i="1"/>
  <c r="AK50" i="1"/>
  <c r="AK52" i="1"/>
  <c r="AK53" i="1"/>
  <c r="L59" i="1"/>
  <c r="AK54" i="1"/>
  <c r="L60" i="1"/>
  <c r="AK55" i="1"/>
  <c r="L61" i="1"/>
  <c r="AK56" i="1"/>
  <c r="L62" i="1"/>
  <c r="AK58" i="1"/>
  <c r="L64" i="1"/>
  <c r="AK59" i="1"/>
  <c r="L65" i="1"/>
  <c r="AK60" i="1"/>
  <c r="AK61" i="1"/>
  <c r="L69" i="1"/>
  <c r="L70" i="1"/>
  <c r="L71" i="1"/>
  <c r="L72" i="1"/>
  <c r="L73" i="1"/>
  <c r="L74" i="1"/>
  <c r="L75" i="1"/>
  <c r="L76" i="1"/>
  <c r="L77" i="1"/>
  <c r="L78" i="1"/>
  <c r="L83" i="1"/>
  <c r="L84" i="1"/>
  <c r="L85" i="1"/>
  <c r="L86" i="1"/>
  <c r="L87" i="1"/>
  <c r="K108" i="1" s="1"/>
  <c r="L89" i="1"/>
  <c r="L91" i="1"/>
  <c r="L95" i="1"/>
  <c r="L96" i="1"/>
  <c r="L97" i="1"/>
  <c r="L98" i="1"/>
  <c r="L99" i="1"/>
  <c r="L100" i="1"/>
  <c r="L101" i="1"/>
  <c r="L102" i="1"/>
  <c r="L103" i="1"/>
  <c r="L104" i="1"/>
  <c r="L105" i="1"/>
  <c r="B143" i="1"/>
  <c r="B146" i="1"/>
  <c r="I47" i="1" l="1"/>
  <c r="I51" i="1"/>
  <c r="I62" i="1"/>
  <c r="I53" i="1"/>
  <c r="I63" i="1"/>
  <c r="I49" i="1"/>
  <c r="I46" i="1"/>
  <c r="I52" i="1"/>
  <c r="B11" i="1"/>
  <c r="I55" i="1"/>
  <c r="I79" i="1"/>
  <c r="I48" i="1"/>
  <c r="I50" i="1"/>
  <c r="I54" i="1"/>
  <c r="B115" i="1"/>
  <c r="B116" i="1" s="1"/>
  <c r="H78" i="1"/>
  <c r="B63" i="1"/>
  <c r="C63" i="1" s="1"/>
  <c r="I110" i="1"/>
  <c r="B62" i="1"/>
  <c r="C62" i="1" s="1"/>
  <c r="B113" i="1"/>
  <c r="C113" i="1" s="1"/>
  <c r="B112" i="1"/>
  <c r="B99" i="1"/>
  <c r="C99" i="1" s="1"/>
  <c r="B98" i="1"/>
  <c r="C98" i="1" s="1"/>
  <c r="B102" i="1"/>
  <c r="B101" i="1"/>
  <c r="B38" i="4" s="1"/>
  <c r="B75" i="1"/>
  <c r="C75" i="1" s="1"/>
  <c r="B74" i="1"/>
  <c r="C74" i="1" s="1"/>
  <c r="C49" i="1"/>
  <c r="D119" i="1"/>
  <c r="C41" i="1"/>
  <c r="B89" i="1"/>
  <c r="C89" i="1" s="1"/>
  <c r="B88" i="1"/>
  <c r="C88" i="1" s="1"/>
  <c r="B47" i="1"/>
  <c r="B10" i="1" s="1"/>
  <c r="B7" i="1" l="1"/>
  <c r="B78" i="1"/>
  <c r="B77" i="1"/>
</calcChain>
</file>

<file path=xl/comments1.xml><?xml version="1.0" encoding="utf-8"?>
<comments xmlns="http://schemas.openxmlformats.org/spreadsheetml/2006/main">
  <authors>
    <author>Owner</author>
  </authors>
  <commentList>
    <comment ref="C7" authorId="0">
      <text>
        <r>
          <rPr>
            <b/>
            <sz val="8"/>
            <color indexed="81"/>
            <rFont val="Tahoma"/>
            <family val="2"/>
          </rPr>
          <t>Owner:</t>
        </r>
        <r>
          <rPr>
            <sz val="8"/>
            <color indexed="81"/>
            <rFont val="Tahoma"/>
            <family val="2"/>
          </rPr>
          <t xml:space="preserve">
5 Structure = 5 Space, up to 25% of Structure.</t>
        </r>
      </text>
    </comment>
    <comment ref="C8" authorId="0">
      <text>
        <r>
          <rPr>
            <b/>
            <sz val="8"/>
            <color indexed="81"/>
            <rFont val="Tahoma"/>
            <family val="2"/>
          </rPr>
          <t>Owner:</t>
        </r>
        <r>
          <rPr>
            <sz val="8"/>
            <color indexed="81"/>
            <rFont val="Tahoma"/>
            <family val="2"/>
          </rPr>
          <t xml:space="preserve">
5 Space = 5 Structure</t>
        </r>
      </text>
    </comment>
    <comment ref="C14" authorId="0">
      <text>
        <r>
          <rPr>
            <b/>
            <sz val="8"/>
            <color indexed="81"/>
            <rFont val="Tahoma"/>
            <family val="2"/>
          </rPr>
          <t>Owner:</t>
        </r>
        <r>
          <rPr>
            <sz val="8"/>
            <color indexed="81"/>
            <rFont val="Tahoma"/>
            <family val="2"/>
          </rPr>
          <t xml:space="preserve">
Select Multiplier by consulting Multiplier Range</t>
        </r>
      </text>
    </comment>
    <comment ref="T82" authorId="0">
      <text>
        <r>
          <rPr>
            <b/>
            <sz val="8"/>
            <color indexed="81"/>
            <rFont val="Tahoma"/>
            <family val="2"/>
          </rPr>
          <t>Owner:</t>
        </r>
        <r>
          <rPr>
            <sz val="8"/>
            <color indexed="81"/>
            <rFont val="Tahoma"/>
            <family val="2"/>
          </rPr>
          <t xml:space="preserve">
Arbitrary figure
</t>
        </r>
      </text>
    </comment>
    <comment ref="B149" authorId="0">
      <text>
        <r>
          <rPr>
            <b/>
            <sz val="8"/>
            <color indexed="81"/>
            <rFont val="Tahoma"/>
            <family val="2"/>
          </rPr>
          <t xml:space="preserve">Owner:
</t>
        </r>
        <r>
          <rPr>
            <sz val="8"/>
            <color indexed="81"/>
            <rFont val="Tahoma"/>
            <family val="2"/>
          </rPr>
          <t>Ship Size&lt;3: 1 Cargo Unit per 1 Space</t>
        </r>
        <r>
          <rPr>
            <b/>
            <sz val="8"/>
            <color indexed="81"/>
            <rFont val="Tahoma"/>
            <family val="2"/>
          </rPr>
          <t xml:space="preserve">
</t>
        </r>
        <r>
          <rPr>
            <sz val="8"/>
            <color indexed="81"/>
            <rFont val="Tahoma"/>
            <family val="2"/>
          </rPr>
          <t xml:space="preserve">
Ship Size 3+: 5 Cargo Units per 1 Space
Support/Auxiliary Vessels (Size 3+): 10 Cargo Units per 1 Space
</t>
        </r>
      </text>
    </comment>
  </commentList>
</comments>
</file>

<file path=xl/comments2.xml><?xml version="1.0" encoding="utf-8"?>
<comments xmlns="http://schemas.openxmlformats.org/spreadsheetml/2006/main">
  <authors>
    <author>Owner</author>
  </authors>
  <commentList>
    <comment ref="C7" authorId="0">
      <text>
        <r>
          <rPr>
            <b/>
            <sz val="8"/>
            <color indexed="81"/>
            <rFont val="Tahoma"/>
            <family val="2"/>
          </rPr>
          <t>Owner:</t>
        </r>
        <r>
          <rPr>
            <sz val="8"/>
            <color indexed="81"/>
            <rFont val="Tahoma"/>
            <family val="2"/>
          </rPr>
          <t xml:space="preserve">
5 Structure = 5 Space, up to 25% of Structure.</t>
        </r>
      </text>
    </comment>
    <comment ref="C8" authorId="0">
      <text>
        <r>
          <rPr>
            <b/>
            <sz val="8"/>
            <color indexed="81"/>
            <rFont val="Tahoma"/>
            <family val="2"/>
          </rPr>
          <t>Owner:</t>
        </r>
        <r>
          <rPr>
            <sz val="8"/>
            <color indexed="81"/>
            <rFont val="Tahoma"/>
            <family val="2"/>
          </rPr>
          <t xml:space="preserve">
5 Space = 5 Structure</t>
        </r>
      </text>
    </comment>
    <comment ref="C14" authorId="0">
      <text>
        <r>
          <rPr>
            <b/>
            <sz val="8"/>
            <color indexed="81"/>
            <rFont val="Tahoma"/>
            <family val="2"/>
          </rPr>
          <t>Owner:</t>
        </r>
        <r>
          <rPr>
            <sz val="8"/>
            <color indexed="81"/>
            <rFont val="Tahoma"/>
            <family val="2"/>
          </rPr>
          <t xml:space="preserve">
Select Multiplier by consulting Multiplier Range</t>
        </r>
      </text>
    </comment>
    <comment ref="T82" authorId="0">
      <text>
        <r>
          <rPr>
            <b/>
            <sz val="8"/>
            <color indexed="81"/>
            <rFont val="Tahoma"/>
            <family val="2"/>
          </rPr>
          <t>Owner:</t>
        </r>
        <r>
          <rPr>
            <sz val="8"/>
            <color indexed="81"/>
            <rFont val="Tahoma"/>
            <family val="2"/>
          </rPr>
          <t xml:space="preserve">
Arbitrary figure
</t>
        </r>
      </text>
    </comment>
    <comment ref="B149" authorId="0">
      <text>
        <r>
          <rPr>
            <b/>
            <sz val="8"/>
            <color indexed="81"/>
            <rFont val="Tahoma"/>
            <family val="2"/>
          </rPr>
          <t xml:space="preserve">Owner:
</t>
        </r>
        <r>
          <rPr>
            <sz val="8"/>
            <color indexed="81"/>
            <rFont val="Tahoma"/>
            <family val="2"/>
          </rPr>
          <t>Ship Size&lt;3: 1 Cargo Unit per 1 Space</t>
        </r>
        <r>
          <rPr>
            <b/>
            <sz val="8"/>
            <color indexed="81"/>
            <rFont val="Tahoma"/>
            <family val="2"/>
          </rPr>
          <t xml:space="preserve">
</t>
        </r>
        <r>
          <rPr>
            <sz val="8"/>
            <color indexed="81"/>
            <rFont val="Tahoma"/>
            <family val="2"/>
          </rPr>
          <t xml:space="preserve">
Ship Size 3+: 5 Cargo Units per 1 Space
Support/Auxiliary Vessels (Size 3+): 10 Cargo Units per 1 Space
</t>
        </r>
      </text>
    </comment>
  </commentList>
</comments>
</file>

<file path=xl/sharedStrings.xml><?xml version="1.0" encoding="utf-8"?>
<sst xmlns="http://schemas.openxmlformats.org/spreadsheetml/2006/main" count="4643" uniqueCount="959">
  <si>
    <t>E</t>
  </si>
  <si>
    <t>12/12/12/12/12</t>
  </si>
  <si>
    <t>9/9/8/0/0</t>
  </si>
  <si>
    <t>110+</t>
  </si>
  <si>
    <t>11/11/11/11/11</t>
  </si>
  <si>
    <t>8/8/8/0/0</t>
  </si>
  <si>
    <t xml:space="preserve">    NOTES</t>
  </si>
  <si>
    <t xml:space="preserve">    MAX. SIZE</t>
  </si>
  <si>
    <t xml:space="preserve">    RATING</t>
  </si>
  <si>
    <t xml:space="preserve">    TOTAL COST</t>
  </si>
  <si>
    <t>None</t>
  </si>
  <si>
    <t>CLOAKING DEVICE</t>
  </si>
  <si>
    <t>ADDITIONAL TRANSPORTERS</t>
  </si>
  <si>
    <t xml:space="preserve">    TOTAL TRANSPORTERS</t>
  </si>
  <si>
    <t>TRANSPORTERS</t>
  </si>
  <si>
    <t>Fast, Far &amp; Light vessels pay -1 (min. 1)</t>
  </si>
  <si>
    <t>8/9.6/9.982</t>
  </si>
  <si>
    <t>Class 8</t>
  </si>
  <si>
    <t>7/8/9.6</t>
  </si>
  <si>
    <t>Class 7.6</t>
  </si>
  <si>
    <t>C</t>
  </si>
  <si>
    <t>7/8/9.2</t>
  </si>
  <si>
    <t>Class 7.2</t>
  </si>
  <si>
    <t>ADDITIONAL BEAMS</t>
  </si>
  <si>
    <t xml:space="preserve">    TOTAL BEAMS</t>
  </si>
  <si>
    <t>7/8/9</t>
  </si>
  <si>
    <t>Class 7</t>
  </si>
  <si>
    <t>TRACTOR BEAMS</t>
  </si>
  <si>
    <t>D</t>
  </si>
  <si>
    <t>6/8/9.2</t>
  </si>
  <si>
    <t>Class 6A2</t>
  </si>
  <si>
    <t>6/8/9</t>
  </si>
  <si>
    <t>Class 6A</t>
  </si>
  <si>
    <t>10/10/10/10/10</t>
  </si>
  <si>
    <t>8/7/7/0/0</t>
  </si>
  <si>
    <t>6/7/8.6</t>
  </si>
  <si>
    <t>Class 6.6</t>
  </si>
  <si>
    <t>ADDITIONAL BAYS</t>
  </si>
  <si>
    <t xml:space="preserve">    TOTAL BAYS</t>
  </si>
  <si>
    <t>B</t>
  </si>
  <si>
    <t>6/7/8</t>
  </si>
  <si>
    <t>Class 6</t>
  </si>
  <si>
    <t>SHUTTLEBAY</t>
  </si>
  <si>
    <t>5/6/7</t>
  </si>
  <si>
    <t>Class 5</t>
  </si>
  <si>
    <t>4/6/7</t>
  </si>
  <si>
    <t>Class 4</t>
  </si>
  <si>
    <t>COST</t>
  </si>
  <si>
    <t>No</t>
  </si>
  <si>
    <t>SEPARATION SYSTEM</t>
  </si>
  <si>
    <t>3/6/7</t>
  </si>
  <si>
    <t>Class 3</t>
  </si>
  <si>
    <t>OTHER SYSTEMS</t>
  </si>
  <si>
    <t>A</t>
  </si>
  <si>
    <t>2/3/6</t>
  </si>
  <si>
    <t>Class 2</t>
  </si>
  <si>
    <t>1.5/3/5</t>
  </si>
  <si>
    <t>Class 1</t>
  </si>
  <si>
    <t>POST-TNG</t>
  </si>
  <si>
    <t>ADDITIONAL THRESHOLD</t>
  </si>
  <si>
    <t>NOTES</t>
  </si>
  <si>
    <t>7/8.5/9</t>
  </si>
  <si>
    <t>FTWA</t>
  </si>
  <si>
    <t>Type VII</t>
  </si>
  <si>
    <t>MAX THRESHOLD</t>
  </si>
  <si>
    <t>RELIABILITY</t>
  </si>
  <si>
    <t>Type VI</t>
  </si>
  <si>
    <t>BASE THRESHOLD</t>
  </si>
  <si>
    <t>THRESHOLD</t>
  </si>
  <si>
    <t>1-10</t>
  </si>
  <si>
    <t>TG</t>
  </si>
  <si>
    <t>Tug</t>
  </si>
  <si>
    <t>5/6/8</t>
  </si>
  <si>
    <t>Type Va</t>
  </si>
  <si>
    <t>PROTECTION RATING</t>
  </si>
  <si>
    <t>TTA</t>
  </si>
  <si>
    <t>Transport, Armored</t>
  </si>
  <si>
    <t>Type V</t>
  </si>
  <si>
    <t>BASE COST</t>
  </si>
  <si>
    <t>TOTAL COST</t>
  </si>
  <si>
    <t>TT</t>
  </si>
  <si>
    <t>Transport</t>
  </si>
  <si>
    <t>4/5/6</t>
  </si>
  <si>
    <t>Type IV</t>
  </si>
  <si>
    <t>FSS</t>
  </si>
  <si>
    <t>GRID TYPE</t>
  </si>
  <si>
    <t>TN</t>
  </si>
  <si>
    <t>Tender</t>
  </si>
  <si>
    <t>3/6/6.5</t>
  </si>
  <si>
    <t>Type IIIa</t>
  </si>
  <si>
    <t>DEFLECTOR SHIELDS</t>
  </si>
  <si>
    <t>TA</t>
  </si>
  <si>
    <t>Tanker</t>
  </si>
  <si>
    <t>3/4/6</t>
  </si>
  <si>
    <t>FWH</t>
  </si>
  <si>
    <t>Type III</t>
  </si>
  <si>
    <t>9/9/9/9/9</t>
  </si>
  <si>
    <t>7/7/6/0/0</t>
  </si>
  <si>
    <t>WS</t>
  </si>
  <si>
    <t>Shuttlecraft, Warp</t>
  </si>
  <si>
    <t>2/4/5</t>
  </si>
  <si>
    <t>Type II</t>
  </si>
  <si>
    <t>IS</t>
  </si>
  <si>
    <t>Shuttlecraft, Impulse</t>
  </si>
  <si>
    <t>1/2/4</t>
  </si>
  <si>
    <t>FMWA</t>
  </si>
  <si>
    <t>Type I</t>
  </si>
  <si>
    <t>RU</t>
  </si>
  <si>
    <t>Runabout</t>
  </si>
  <si>
    <t>PRE-TNG</t>
  </si>
  <si>
    <t>COMBINED BEAM &amp; MISSILE OFFENSIVE VALUE</t>
  </si>
  <si>
    <t>TC</t>
  </si>
  <si>
    <t>Cargo Carrier</t>
  </si>
  <si>
    <t xml:space="preserve"> </t>
  </si>
  <si>
    <t>SUPPORT/AUXILIARY</t>
  </si>
  <si>
    <t>MAX SIZE</t>
  </si>
  <si>
    <t>MAX C</t>
  </si>
  <si>
    <t>TYPE/CLASS</t>
  </si>
  <si>
    <t>DECIPHER</t>
  </si>
  <si>
    <t>CLOAKING DEVICE COST</t>
  </si>
  <si>
    <t>20-50</t>
  </si>
  <si>
    <t>10+</t>
  </si>
  <si>
    <t>Space Station/Starbase</t>
  </si>
  <si>
    <t>TABLE 9.9 WARP COSTS</t>
  </si>
  <si>
    <t>MISSILE PENETRATION</t>
  </si>
  <si>
    <t>5-15</t>
  </si>
  <si>
    <t>SRS/SRL</t>
  </si>
  <si>
    <t>Research/Laboratory</t>
  </si>
  <si>
    <t>SVH</t>
  </si>
  <si>
    <t>Deep Space Surveyor</t>
  </si>
  <si>
    <t>Destroyers &amp; Escorts pay -1 (min. 1)</t>
  </si>
  <si>
    <t>.95c</t>
  </si>
  <si>
    <t>Yes</t>
  </si>
  <si>
    <t>SV</t>
  </si>
  <si>
    <t>Surveyor</t>
  </si>
  <si>
    <t>.92c</t>
  </si>
  <si>
    <t>MD</t>
  </si>
  <si>
    <t>Medical</t>
  </si>
  <si>
    <t>.9c</t>
  </si>
  <si>
    <t>MINIMUM SIZE</t>
  </si>
  <si>
    <t>SC</t>
  </si>
  <si>
    <t>Courier</t>
  </si>
  <si>
    <t>Class 5A</t>
  </si>
  <si>
    <t>OFFENSIVE VALUE PER WEAPON</t>
  </si>
  <si>
    <t>OFFENSIVE VALUE, TOTAL</t>
  </si>
  <si>
    <t>SPECIALIZED</t>
  </si>
  <si>
    <t>COST PER WEAPON</t>
  </si>
  <si>
    <t>1-5</t>
  </si>
  <si>
    <t>SH</t>
  </si>
  <si>
    <t>Heavy</t>
  </si>
  <si>
    <t>.85c</t>
  </si>
  <si>
    <t>Class 4B</t>
  </si>
  <si>
    <t>NUMBER</t>
  </si>
  <si>
    <t>FP-4</t>
  </si>
  <si>
    <t>TYPE</t>
  </si>
  <si>
    <t>SF</t>
  </si>
  <si>
    <t>Fast/Far Scout</t>
  </si>
  <si>
    <t>Class 4A</t>
  </si>
  <si>
    <t>SS</t>
  </si>
  <si>
    <t>Scout</t>
  </si>
  <si>
    <t>.8c</t>
  </si>
  <si>
    <t>8/8/8/8/8</t>
  </si>
  <si>
    <t>6/6/6/0/0</t>
  </si>
  <si>
    <t>SCOUTS</t>
  </si>
  <si>
    <t>.75c</t>
  </si>
  <si>
    <t>Class 3A</t>
  </si>
  <si>
    <t>10-20</t>
  </si>
  <si>
    <t>FL</t>
  </si>
  <si>
    <t>Light Frigate</t>
  </si>
  <si>
    <t>FH</t>
  </si>
  <si>
    <t>Heavy Frigate</t>
  </si>
  <si>
    <t>.5c</t>
  </si>
  <si>
    <t>FF</t>
  </si>
  <si>
    <t>Fast Frigate</t>
  </si>
  <si>
    <t>1</t>
  </si>
  <si>
    <t>RSO</t>
  </si>
  <si>
    <t>Class 2a</t>
  </si>
  <si>
    <t>FR</t>
  </si>
  <si>
    <t xml:space="preserve">Frigate </t>
  </si>
  <si>
    <t>BB</t>
  </si>
  <si>
    <t>RSL</t>
  </si>
  <si>
    <t>FIG</t>
  </si>
  <si>
    <t>RSI</t>
  </si>
  <si>
    <t>FRIGATES</t>
  </si>
  <si>
    <t>AA</t>
  </si>
  <si>
    <t>RSF</t>
  </si>
  <si>
    <t>EL</t>
  </si>
  <si>
    <t>Light Escort</t>
  </si>
  <si>
    <t>EH</t>
  </si>
  <si>
    <t>Heavy Escort</t>
  </si>
  <si>
    <t>.6c</t>
  </si>
  <si>
    <t>CC</t>
  </si>
  <si>
    <t>RSN</t>
  </si>
  <si>
    <t>ED</t>
  </si>
  <si>
    <t>Destroyer Escort</t>
  </si>
  <si>
    <t>FH-11</t>
  </si>
  <si>
    <t>RSK</t>
  </si>
  <si>
    <t>ES</t>
  </si>
  <si>
    <t xml:space="preserve">Escort </t>
  </si>
  <si>
    <t>Type IIa</t>
  </si>
  <si>
    <t>STRUCTURE TO SPACE p. 136-137</t>
  </si>
  <si>
    <t>RSH</t>
  </si>
  <si>
    <t>ESCORTS</t>
  </si>
  <si>
    <t>RSE</t>
  </si>
  <si>
    <t>DH</t>
  </si>
  <si>
    <t>Heavy Destroyer</t>
  </si>
  <si>
    <t>.25c</t>
  </si>
  <si>
    <t>FMIA</t>
  </si>
  <si>
    <t>0</t>
  </si>
  <si>
    <t>RSC</t>
  </si>
  <si>
    <t>HPG Mk III</t>
  </si>
  <si>
    <t>DA</t>
  </si>
  <si>
    <t>Destroyer</t>
  </si>
  <si>
    <t>SCOUT</t>
  </si>
  <si>
    <t>DESTROYERS</t>
  </si>
  <si>
    <t>MAX. SIZE</t>
  </si>
  <si>
    <t>RSM</t>
  </si>
  <si>
    <t>FRIGATE</t>
  </si>
  <si>
    <t>15-25</t>
  </si>
  <si>
    <t xml:space="preserve">CL </t>
  </si>
  <si>
    <t>Light Cruiser</t>
  </si>
  <si>
    <t>RSJ</t>
  </si>
  <si>
    <t>7/7/7/7/7</t>
  </si>
  <si>
    <t>6/5/5/0/0</t>
  </si>
  <si>
    <t>ESCORT</t>
  </si>
  <si>
    <t>CH</t>
  </si>
  <si>
    <t>Heavy Cruiser</t>
  </si>
  <si>
    <t>TABLE 9.8 IMPULSE COSTS</t>
  </si>
  <si>
    <t>RSG</t>
  </si>
  <si>
    <t>DESTROYER</t>
  </si>
  <si>
    <t>CEX</t>
  </si>
  <si>
    <t>Exploratory Cruiser</t>
  </si>
  <si>
    <t>Available 2345; Scout cost 2</t>
  </si>
  <si>
    <t>+4/+3/+2/+1/0</t>
  </si>
  <si>
    <t>RSD</t>
  </si>
  <si>
    <t>HPG Mk 3</t>
  </si>
  <si>
    <t>CRUISER</t>
  </si>
  <si>
    <t>CB</t>
  </si>
  <si>
    <t>Battle Cruiser</t>
  </si>
  <si>
    <t>Available 2320; Scout cost 1</t>
  </si>
  <si>
    <t>+3/+2/+1/0/0</t>
  </si>
  <si>
    <t>WARP SYSTEM</t>
  </si>
  <si>
    <t>RSB</t>
  </si>
  <si>
    <t>HPG Mk 2</t>
  </si>
  <si>
    <t>EXPLORER</t>
  </si>
  <si>
    <t>CA</t>
  </si>
  <si>
    <t xml:space="preserve">Cruiser </t>
  </si>
  <si>
    <t>Scout cost 1</t>
  </si>
  <si>
    <t>+2/+1/0/0/0</t>
  </si>
  <si>
    <t>RSA</t>
  </si>
  <si>
    <t>HPG Mk 1</t>
  </si>
  <si>
    <t>WARSHIP</t>
  </si>
  <si>
    <t>CRUISERS</t>
  </si>
  <si>
    <t>Scouts - no cost</t>
  </si>
  <si>
    <t>+1/0/0/0/0</t>
  </si>
  <si>
    <t>10-25</t>
  </si>
  <si>
    <t>EXL</t>
  </si>
  <si>
    <t>Light</t>
  </si>
  <si>
    <t>Basic</t>
  </si>
  <si>
    <t>KSP</t>
  </si>
  <si>
    <t>EXH</t>
  </si>
  <si>
    <t>BONUS</t>
  </si>
  <si>
    <t>KSL</t>
  </si>
  <si>
    <t>EX</t>
  </si>
  <si>
    <t xml:space="preserve">Explorer </t>
  </si>
  <si>
    <t>TABLE 9.7 SENSORS COST</t>
  </si>
  <si>
    <t>KSH</t>
  </si>
  <si>
    <t>Scouts &amp; Frigates pay -1 (min. 1)</t>
  </si>
  <si>
    <t>Available 2350; Romulan only</t>
  </si>
  <si>
    <t>EXPLORERS</t>
  </si>
  <si>
    <t>Available 2335; Romulan only</t>
  </si>
  <si>
    <t>FX</t>
  </si>
  <si>
    <t>Fighter</t>
  </si>
  <si>
    <t>E (+8)</t>
  </si>
  <si>
    <t>KSN</t>
  </si>
  <si>
    <t>Class 2b</t>
  </si>
  <si>
    <t>6/6/6/6/6</t>
  </si>
  <si>
    <t>5/5/4/0/0</t>
  </si>
  <si>
    <t>Available 2320 (Romulans 2300)</t>
  </si>
  <si>
    <t>FAS</t>
  </si>
  <si>
    <t>Fast Attack</t>
  </si>
  <si>
    <t>D (+6)</t>
  </si>
  <si>
    <t>SPACE TO STRUCTURE p. 136-137</t>
  </si>
  <si>
    <t>KSJ</t>
  </si>
  <si>
    <t>15-20</t>
  </si>
  <si>
    <t>DR</t>
  </si>
  <si>
    <t>Dreadnought</t>
  </si>
  <si>
    <t>C (+4)</t>
  </si>
  <si>
    <t>IMPULSE SYSTEM</t>
  </si>
  <si>
    <t>KSF</t>
  </si>
  <si>
    <t>BA</t>
  </si>
  <si>
    <t>Battleship</t>
  </si>
  <si>
    <t>B (+2)</t>
  </si>
  <si>
    <t>WARSHIPS</t>
  </si>
  <si>
    <t>A (+0)</t>
  </si>
  <si>
    <t>KSO</t>
  </si>
  <si>
    <t>AVAILABILITY</t>
  </si>
  <si>
    <t>RATING</t>
  </si>
  <si>
    <t>CREW MULTIPLER</t>
  </si>
  <si>
    <t>MAXIMUM SIZE</t>
  </si>
  <si>
    <t>CLASSIFICATION CODE</t>
  </si>
  <si>
    <t>SHIP TYPE</t>
  </si>
  <si>
    <t>KSK</t>
  </si>
  <si>
    <t>TABLE 9.5 CLOAKING DEVICE COSTS</t>
  </si>
  <si>
    <t>TABLE 9.1 &amp; 9.3 STARSHIP CLASSIFICATIONS &amp; CREW COMPLEMENT</t>
  </si>
  <si>
    <t>TABLE 9.6 OPERATIONS &amp; LIFE SUPPORT</t>
  </si>
  <si>
    <t>KSG</t>
  </si>
  <si>
    <t>KSD</t>
  </si>
  <si>
    <t>KSM</t>
  </si>
  <si>
    <t>SENSORS SYSTEM</t>
  </si>
  <si>
    <t>KSI</t>
  </si>
  <si>
    <t>5/5/5/5/5</t>
  </si>
  <si>
    <t>4/4/4/0/0</t>
  </si>
  <si>
    <t>KSE</t>
  </si>
  <si>
    <t>Explorers, BA, DR pay -2 (min. 1)</t>
  </si>
  <si>
    <t>Available by 2370</t>
  </si>
  <si>
    <t>2</t>
  </si>
  <si>
    <t>KSC</t>
  </si>
  <si>
    <t>Available by 2350</t>
  </si>
  <si>
    <t>KSB</t>
  </si>
  <si>
    <t>Available by 2320</t>
  </si>
  <si>
    <t>Cruisers pay -1 (min. 1)</t>
  </si>
  <si>
    <t>KSA</t>
  </si>
  <si>
    <t>Available by 2284</t>
  </si>
  <si>
    <t>Available by 2271</t>
  </si>
  <si>
    <t>LIFE SUPPORT SYSTEM</t>
  </si>
  <si>
    <t>Available by 2245</t>
  </si>
  <si>
    <t>FSP</t>
  </si>
  <si>
    <t>Available by 2215</t>
  </si>
  <si>
    <t>Type B</t>
  </si>
  <si>
    <t>Available by 2180</t>
  </si>
  <si>
    <t>Type A</t>
  </si>
  <si>
    <t>FSO</t>
  </si>
  <si>
    <t>FSL</t>
  </si>
  <si>
    <t>4/4/4/4/4</t>
  </si>
  <si>
    <t>4/3/3/0/0</t>
  </si>
  <si>
    <t>BASE/MAX THRESHOLD</t>
  </si>
  <si>
    <t>OFFENSIVE VALUE</t>
  </si>
  <si>
    <t>DECK SELECTION &amp; TABLE 9.3 CREW MULTIPLIER</t>
  </si>
  <si>
    <t>FSI</t>
  </si>
  <si>
    <t>TABLE 9.13 DEFLECTOR SHIELD COSTS</t>
  </si>
  <si>
    <t>TABLE 9.11 MISSILE WEAPON COSTS</t>
  </si>
  <si>
    <t>OPERATIONS SYSTEM</t>
  </si>
  <si>
    <t>Heavy vessels pay -1 (min. 1)</t>
  </si>
  <si>
    <t>FH-13</t>
  </si>
  <si>
    <t>FSN</t>
  </si>
  <si>
    <t>FH-12</t>
  </si>
  <si>
    <t>FSK</t>
  </si>
  <si>
    <t>FSH</t>
  </si>
  <si>
    <t>FH-10</t>
  </si>
  <si>
    <t>MULTIPLIER RANGE</t>
  </si>
  <si>
    <t>MULTIPLIER</t>
  </si>
  <si>
    <t>CREW</t>
  </si>
  <si>
    <t>FSF</t>
  </si>
  <si>
    <t>90-109</t>
  </si>
  <si>
    <t>FH-9</t>
  </si>
  <si>
    <t>RECOMMENED DECKS</t>
  </si>
  <si>
    <t>DECKS</t>
  </si>
  <si>
    <t>FSD</t>
  </si>
  <si>
    <t>3/3/3/3/3</t>
  </si>
  <si>
    <t>3/3/2/0/0</t>
  </si>
  <si>
    <t>75-89</t>
  </si>
  <si>
    <t>FH-8</t>
  </si>
  <si>
    <t>FSB</t>
  </si>
  <si>
    <t>60-74</t>
  </si>
  <si>
    <t>FH-7</t>
  </si>
  <si>
    <t>45-59</t>
  </si>
  <si>
    <t>FH-6</t>
  </si>
  <si>
    <t>FSM</t>
  </si>
  <si>
    <t>35-44</t>
  </si>
  <si>
    <t>FH-5</t>
  </si>
  <si>
    <t>BEAM</t>
  </si>
  <si>
    <t>HEIGHT</t>
  </si>
  <si>
    <t>LENGTH</t>
  </si>
  <si>
    <t>FSJ</t>
  </si>
  <si>
    <t>25-34</t>
  </si>
  <si>
    <t>FH-4</t>
  </si>
  <si>
    <t>STARTING STRUCTURE</t>
  </si>
  <si>
    <t>ADDITIONAL STRUCTURE</t>
  </si>
  <si>
    <t>STRUCTURE</t>
  </si>
  <si>
    <t>FSG</t>
  </si>
  <si>
    <t>3/3/3/3/0</t>
  </si>
  <si>
    <t>2/2/2/0/0</t>
  </si>
  <si>
    <t>15-24</t>
  </si>
  <si>
    <t>FH-3</t>
  </si>
  <si>
    <t>STARTING SPACE</t>
  </si>
  <si>
    <t>ADDITIONAL SPACE</t>
  </si>
  <si>
    <t>SPACE</t>
  </si>
  <si>
    <t>FSE</t>
  </si>
  <si>
    <t>10-14</t>
  </si>
  <si>
    <t>FH-2</t>
  </si>
  <si>
    <t>FSC</t>
  </si>
  <si>
    <t>5-9</t>
  </si>
  <si>
    <t>FH-1</t>
  </si>
  <si>
    <t>I</t>
  </si>
  <si>
    <t>SIZE</t>
  </si>
  <si>
    <t>FSA</t>
  </si>
  <si>
    <t>0-4</t>
  </si>
  <si>
    <t>SUBTYPE</t>
  </si>
  <si>
    <t>Missile Penetration</t>
  </si>
  <si>
    <t>Beam Penetration</t>
  </si>
  <si>
    <t>Total Offensive Value</t>
  </si>
  <si>
    <t>Cruiser</t>
  </si>
  <si>
    <t>TABLE FASA DEFLECTOR SHIELD COSTS</t>
  </si>
  <si>
    <t>TABLE 9.12 BEAM &amp; MISSILE WEAPONS</t>
  </si>
  <si>
    <t>TABLE 9.10 BEAM WEAPON COSTS</t>
  </si>
  <si>
    <t>TABLE 9.2 SIZE</t>
  </si>
  <si>
    <t>AFFILIATION</t>
  </si>
  <si>
    <t>CLASS NAME</t>
  </si>
  <si>
    <t>3.3-6.3</t>
  </si>
  <si>
    <t>5.5</t>
  </si>
  <si>
    <t>Q</t>
  </si>
  <si>
    <t>14</t>
  </si>
  <si>
    <t>10</t>
  </si>
  <si>
    <t>RP-3</t>
  </si>
  <si>
    <t>KP-5</t>
  </si>
  <si>
    <t>4.8</t>
  </si>
  <si>
    <t>R</t>
  </si>
  <si>
    <t>16</t>
  </si>
  <si>
    <t>8</t>
  </si>
  <si>
    <t>FP-7</t>
  </si>
  <si>
    <t>6.3-9.8</t>
  </si>
  <si>
    <t>6.7</t>
  </si>
  <si>
    <t>O</t>
  </si>
  <si>
    <t>12</t>
  </si>
  <si>
    <t>FP-6</t>
  </si>
  <si>
    <t>(over +0.5; would be 6.3-9.3)</t>
  </si>
  <si>
    <t>9.0; 9.8</t>
  </si>
  <si>
    <t>R; Q</t>
  </si>
  <si>
    <t>16; 14</t>
  </si>
  <si>
    <t>15; 18</t>
  </si>
  <si>
    <t>KP-3; KP-4</t>
  </si>
  <si>
    <t>9.5</t>
  </si>
  <si>
    <t>FP-5</t>
  </si>
  <si>
    <t>9.9-12.9</t>
  </si>
  <si>
    <t>11.8</t>
  </si>
  <si>
    <t>20</t>
  </si>
  <si>
    <t>KP-6</t>
  </si>
  <si>
    <t>12.5</t>
  </si>
  <si>
    <t>S</t>
  </si>
  <si>
    <t>0.0-3.2</t>
  </si>
  <si>
    <t>1.2</t>
  </si>
  <si>
    <t>6</t>
  </si>
  <si>
    <t>FP-3</t>
  </si>
  <si>
    <t>1.5; 2.4</t>
  </si>
  <si>
    <t>F; H</t>
  </si>
  <si>
    <t>8; 10</t>
  </si>
  <si>
    <t>6; 8</t>
  </si>
  <si>
    <t>RP-1; RP-2</t>
  </si>
  <si>
    <t>1.5</t>
  </si>
  <si>
    <t>F</t>
  </si>
  <si>
    <t>KP-1</t>
  </si>
  <si>
    <t>2.0</t>
  </si>
  <si>
    <t>H</t>
  </si>
  <si>
    <t>FP-2</t>
  </si>
  <si>
    <t>3.3</t>
  </si>
  <si>
    <t>KP-2</t>
  </si>
  <si>
    <t>4.4</t>
  </si>
  <si>
    <t>L</t>
  </si>
  <si>
    <t>FP-1</t>
  </si>
  <si>
    <t>WDF RANGE</t>
  </si>
  <si>
    <t>WDF</t>
  </si>
  <si>
    <t>CHART</t>
  </si>
  <si>
    <t>MAX RANGE</t>
  </si>
  <si>
    <t>DAMAGE</t>
  </si>
  <si>
    <t>6.4-8.1</t>
  </si>
  <si>
    <t>6.5; 6.9; 7.9</t>
  </si>
  <si>
    <t>W; U; V</t>
  </si>
  <si>
    <t>20; 20; 21</t>
  </si>
  <si>
    <t>6; 8; 9</t>
  </si>
  <si>
    <t>RB-9; RB-10; RB-11</t>
  </si>
  <si>
    <t>6.5</t>
  </si>
  <si>
    <t>T</t>
  </si>
  <si>
    <t>18</t>
  </si>
  <si>
    <t>4.6-6.3</t>
  </si>
  <si>
    <t>4.7; 5.1</t>
  </si>
  <si>
    <t>V; T</t>
  </si>
  <si>
    <t>21; 18</t>
  </si>
  <si>
    <t>5; 6</t>
  </si>
  <si>
    <t>RB-5; RB-6</t>
  </si>
  <si>
    <t>5.1; 5.0</t>
  </si>
  <si>
    <t>KD-6; KD-9</t>
  </si>
  <si>
    <t>4.9</t>
  </si>
  <si>
    <t>10.0-11.7</t>
  </si>
  <si>
    <t>10.7</t>
  </si>
  <si>
    <t>Y</t>
  </si>
  <si>
    <t>24</t>
  </si>
  <si>
    <t>8.2-9.9</t>
  </si>
  <si>
    <t xml:space="preserve">Type VI </t>
  </si>
  <si>
    <t>9.7</t>
  </si>
  <si>
    <t>W</t>
  </si>
  <si>
    <t>7</t>
  </si>
  <si>
    <t>5.7</t>
  </si>
  <si>
    <t>X</t>
  </si>
  <si>
    <t>22</t>
  </si>
  <si>
    <t>5</t>
  </si>
  <si>
    <t>KD-13</t>
  </si>
  <si>
    <t>6.0</t>
  </si>
  <si>
    <t>2.8-4.5</t>
  </si>
  <si>
    <t>4.1</t>
  </si>
  <si>
    <t>N</t>
  </si>
  <si>
    <t>13</t>
  </si>
  <si>
    <t>RB-8</t>
  </si>
  <si>
    <t>3.8</t>
  </si>
  <si>
    <t>KD-7</t>
  </si>
  <si>
    <t>4.3</t>
  </si>
  <si>
    <t>3.7; 3.2</t>
  </si>
  <si>
    <t>L; J</t>
  </si>
  <si>
    <t>12; 10</t>
  </si>
  <si>
    <t>6; 6</t>
  </si>
  <si>
    <t>RB-3a; RB-4</t>
  </si>
  <si>
    <t>3.1; 3.7</t>
  </si>
  <si>
    <t>P; H</t>
  </si>
  <si>
    <t>18; 10</t>
  </si>
  <si>
    <t>4; 9</t>
  </si>
  <si>
    <t>KD-5; KD-12</t>
  </si>
  <si>
    <t>3.2</t>
  </si>
  <si>
    <t>4</t>
  </si>
  <si>
    <t>1.0-2.7</t>
  </si>
  <si>
    <t>2.1; 2.3</t>
  </si>
  <si>
    <t>K; J</t>
  </si>
  <si>
    <t>15; 10</t>
  </si>
  <si>
    <t>3; 4</t>
  </si>
  <si>
    <t>RB-2a; RB-7</t>
  </si>
  <si>
    <t>2.0; 2.1</t>
  </si>
  <si>
    <t>J; D</t>
  </si>
  <si>
    <t>10; 6</t>
  </si>
  <si>
    <t>4; 8</t>
  </si>
  <si>
    <t>KD-4; KD-14</t>
  </si>
  <si>
    <t>2.3</t>
  </si>
  <si>
    <t>3</t>
  </si>
  <si>
    <t>3.0</t>
  </si>
  <si>
    <t>M</t>
  </si>
  <si>
    <t>RB-7a</t>
  </si>
  <si>
    <t>3.1</t>
  </si>
  <si>
    <t>P</t>
  </si>
  <si>
    <t>KD-5</t>
  </si>
  <si>
    <t>2.7</t>
  </si>
  <si>
    <t>KD-3</t>
  </si>
  <si>
    <t>2.6</t>
  </si>
  <si>
    <t>6.1</t>
  </si>
  <si>
    <t>U</t>
  </si>
  <si>
    <t>KD-8</t>
  </si>
  <si>
    <t>5.8</t>
  </si>
  <si>
    <t>1.4; 1.7</t>
  </si>
  <si>
    <t>G; F</t>
  </si>
  <si>
    <t>10; 8</t>
  </si>
  <si>
    <t>4; 5</t>
  </si>
  <si>
    <t>KD-2; KD-11</t>
  </si>
  <si>
    <t>1.3</t>
  </si>
  <si>
    <t>0.0-0.9</t>
  </si>
  <si>
    <t xml:space="preserve">Type I </t>
  </si>
  <si>
    <t>.5; .8; 08</t>
  </si>
  <si>
    <t>G; K; A</t>
  </si>
  <si>
    <t>10; 15; 4</t>
  </si>
  <si>
    <t>2; 2; 6</t>
  </si>
  <si>
    <t>RB-1; RB-2; RB-3</t>
  </si>
  <si>
    <t>.7; .7</t>
  </si>
  <si>
    <t>B; C</t>
  </si>
  <si>
    <t>4; 3</t>
  </si>
  <si>
    <t>KD-1; KD-10</t>
  </si>
  <si>
    <t>.5</t>
  </si>
  <si>
    <t>MAX POWER</t>
  </si>
  <si>
    <t>Class 4 (C )</t>
  </si>
  <si>
    <t>-</t>
  </si>
  <si>
    <t>1/4</t>
  </si>
  <si>
    <t>Class 3/PFF 3 (B)</t>
  </si>
  <si>
    <t>Class 2a/PFF 2a (B)</t>
  </si>
  <si>
    <t>1/2</t>
  </si>
  <si>
    <t>15</t>
  </si>
  <si>
    <t>Class 2 (modified to AA)</t>
  </si>
  <si>
    <t>Class 1 (modified to AA)</t>
  </si>
  <si>
    <t>1/1</t>
  </si>
  <si>
    <t>1/3</t>
  </si>
  <si>
    <t>Class IIb (13; 1/2)</t>
  </si>
  <si>
    <t>2/3</t>
  </si>
  <si>
    <t>HPG Mk 3 (cost modified)</t>
  </si>
  <si>
    <t>HPG Mk 2 (cost modified)</t>
  </si>
  <si>
    <t>9</t>
  </si>
  <si>
    <t>HPG Mk 1 (cost modified)</t>
  </si>
  <si>
    <t>DECIPHER EQUIVALENT</t>
  </si>
  <si>
    <t>SPR</t>
  </si>
  <si>
    <t>Type VI*</t>
  </si>
  <si>
    <t>X-XV</t>
  </si>
  <si>
    <t>1060</t>
  </si>
  <si>
    <t>24/32/40</t>
  </si>
  <si>
    <t>V-XVIII; XII-XIX</t>
  </si>
  <si>
    <t>788; 900</t>
  </si>
  <si>
    <t>10/15/20; 12/18/28</t>
  </si>
  <si>
    <t>RIE, RIF</t>
  </si>
  <si>
    <t>VIII-XVIII</t>
  </si>
  <si>
    <t>960</t>
  </si>
  <si>
    <t>17/23</t>
  </si>
  <si>
    <t>KIF</t>
  </si>
  <si>
    <t>VII-XX</t>
  </si>
  <si>
    <t>438</t>
  </si>
  <si>
    <t>12/16/20</t>
  </si>
  <si>
    <t>FIF</t>
  </si>
  <si>
    <t>V-XIII</t>
  </si>
  <si>
    <t>700</t>
  </si>
  <si>
    <t>4/8/12</t>
  </si>
  <si>
    <t>RID</t>
  </si>
  <si>
    <t>VI-XIII</t>
  </si>
  <si>
    <t>850</t>
  </si>
  <si>
    <t>6/12/18</t>
  </si>
  <si>
    <t>KIE</t>
  </si>
  <si>
    <t>VI-XX</t>
  </si>
  <si>
    <t>350</t>
  </si>
  <si>
    <t>4/8/16</t>
  </si>
  <si>
    <t>FIE</t>
  </si>
  <si>
    <t>V-XII</t>
  </si>
  <si>
    <t>715</t>
  </si>
  <si>
    <t>6/4</t>
  </si>
  <si>
    <t>KID</t>
  </si>
  <si>
    <t>IV-XX</t>
  </si>
  <si>
    <t>315</t>
  </si>
  <si>
    <t>2/4/8</t>
  </si>
  <si>
    <t>FID</t>
  </si>
  <si>
    <t xml:space="preserve">Type III </t>
  </si>
  <si>
    <t>II-XIII</t>
  </si>
  <si>
    <t>505</t>
  </si>
  <si>
    <t>1/4/5/6</t>
  </si>
  <si>
    <t>RIC</t>
  </si>
  <si>
    <t>II-XVIII</t>
  </si>
  <si>
    <t>568</t>
  </si>
  <si>
    <t>2/4/5/8</t>
  </si>
  <si>
    <t>KIC</t>
  </si>
  <si>
    <t>III-XI</t>
  </si>
  <si>
    <t>255</t>
  </si>
  <si>
    <t>1/3/6</t>
  </si>
  <si>
    <t>FIC</t>
  </si>
  <si>
    <t>II-IX</t>
  </si>
  <si>
    <t>263</t>
  </si>
  <si>
    <t>2/3/5</t>
  </si>
  <si>
    <t>RIB</t>
  </si>
  <si>
    <t>II-X</t>
  </si>
  <si>
    <t>325</t>
  </si>
  <si>
    <t>3/2</t>
  </si>
  <si>
    <t>KIB</t>
  </si>
  <si>
    <t>III-IX</t>
  </si>
  <si>
    <t>200</t>
  </si>
  <si>
    <t>2/4/6</t>
  </si>
  <si>
    <t>FIB</t>
  </si>
  <si>
    <t>I-II</t>
  </si>
  <si>
    <t>188</t>
  </si>
  <si>
    <t>1/2/3</t>
  </si>
  <si>
    <t>RIA</t>
  </si>
  <si>
    <t>I-III</t>
  </si>
  <si>
    <t>213</t>
  </si>
  <si>
    <t>KIA</t>
  </si>
  <si>
    <t>150</t>
  </si>
  <si>
    <t>FIA</t>
  </si>
  <si>
    <t>DECIPHER ENGINE EQUIVALENT</t>
  </si>
  <si>
    <t>SHIP CLASS</t>
  </si>
  <si>
    <t>MASS</t>
  </si>
  <si>
    <t>156000</t>
  </si>
  <si>
    <t>48</t>
  </si>
  <si>
    <t>600</t>
  </si>
  <si>
    <t>8000</t>
  </si>
  <si>
    <t>140,000</t>
  </si>
  <si>
    <t>RWG</t>
  </si>
  <si>
    <t>130000</t>
  </si>
  <si>
    <t>28</t>
  </si>
  <si>
    <t>KWG</t>
  </si>
  <si>
    <t>116,000</t>
  </si>
  <si>
    <t>20/22</t>
  </si>
  <si>
    <t>FWG</t>
  </si>
  <si>
    <t>New Component</t>
  </si>
  <si>
    <t>100,000</t>
  </si>
  <si>
    <t>18/20</t>
  </si>
  <si>
    <t>RWF</t>
  </si>
  <si>
    <t>70000</t>
  </si>
  <si>
    <t>KWF</t>
  </si>
  <si>
    <t>124,000</t>
  </si>
  <si>
    <t>FWF</t>
  </si>
  <si>
    <t>80000</t>
  </si>
  <si>
    <t>RWE</t>
  </si>
  <si>
    <t>90000</t>
  </si>
  <si>
    <t>11/18/20</t>
  </si>
  <si>
    <t>KWE</t>
  </si>
  <si>
    <t>80,000</t>
  </si>
  <si>
    <t>8/12</t>
  </si>
  <si>
    <t>FWE</t>
  </si>
  <si>
    <t>*No Narrator's Guide Excelsior</t>
  </si>
  <si>
    <t>40000</t>
  </si>
  <si>
    <t>12/15</t>
  </si>
  <si>
    <t>RWC</t>
  </si>
  <si>
    <t>60000</t>
  </si>
  <si>
    <t>18/12</t>
  </si>
  <si>
    <t>KWD</t>
  </si>
  <si>
    <t>10/16</t>
  </si>
  <si>
    <t>FWD</t>
  </si>
  <si>
    <t>d20/FASA Excelsior Match/New Equip.</t>
  </si>
  <si>
    <t xml:space="preserve">Type V </t>
  </si>
  <si>
    <t>16/20</t>
  </si>
  <si>
    <t>RWD</t>
  </si>
  <si>
    <t>50000</t>
  </si>
  <si>
    <t>14/18/23</t>
  </si>
  <si>
    <t>KWC</t>
  </si>
  <si>
    <t>120,000</t>
  </si>
  <si>
    <t>14/20</t>
  </si>
  <si>
    <t>FWC</t>
  </si>
  <si>
    <t>d20/FASA Enterprise Match</t>
  </si>
  <si>
    <t>16,400</t>
  </si>
  <si>
    <t>10/11</t>
  </si>
  <si>
    <t>RWB</t>
  </si>
  <si>
    <t>20000</t>
  </si>
  <si>
    <t>9/12/13</t>
  </si>
  <si>
    <t>KWB</t>
  </si>
  <si>
    <t>36000</t>
  </si>
  <si>
    <t>9/12</t>
  </si>
  <si>
    <t>FWB</t>
  </si>
  <si>
    <t>d20/FASA Constitution Match</t>
  </si>
  <si>
    <t xml:space="preserve">Type II </t>
  </si>
  <si>
    <t>6000</t>
  </si>
  <si>
    <t>6/8</t>
  </si>
  <si>
    <t>RWA</t>
  </si>
  <si>
    <t>5000</t>
  </si>
  <si>
    <t>5/10</t>
  </si>
  <si>
    <t>KWA</t>
  </si>
  <si>
    <t>4800</t>
  </si>
  <si>
    <t>FWA</t>
  </si>
  <si>
    <t>HPG Mk II</t>
  </si>
  <si>
    <t xml:space="preserve">HPG Mk I </t>
  </si>
  <si>
    <t xml:space="preserve">Class 1 </t>
  </si>
  <si>
    <t>TYPE 1</t>
  </si>
  <si>
    <t>TYPE 2</t>
  </si>
  <si>
    <t>TYPE 3</t>
  </si>
  <si>
    <t>TYPE 4</t>
  </si>
  <si>
    <t>TYPE 5</t>
  </si>
  <si>
    <t>TYPE 6</t>
  </si>
  <si>
    <t>TYPE 7</t>
  </si>
  <si>
    <t>TYPE 8</t>
  </si>
  <si>
    <t>FH-2, FH-4, FH-6; KD-2, KD-3, KD-4, KD-11, KD-14; RB-2a, RB-7</t>
  </si>
  <si>
    <t>FH-1; KD-1, KD-10; RB-1, RB-2, RB-3</t>
  </si>
  <si>
    <t>FH-5, FH-7, FH-8; KD-5, KD-7, KD-12, RB-3a, RB-4, RB-7a, RB-8</t>
  </si>
  <si>
    <t>FH-9, FH-12; KD-6, KD-9, KD-13; RB-5, RB-6</t>
  </si>
  <si>
    <t>FH-13; RB-9, RB-10, RB-11</t>
  </si>
  <si>
    <t>FH-11, KD-13</t>
  </si>
  <si>
    <t>TYPE A</t>
  </si>
  <si>
    <t>TYPE B</t>
  </si>
  <si>
    <t>TYPE I</t>
  </si>
  <si>
    <t>TYPE II</t>
  </si>
  <si>
    <t>TYPE III</t>
  </si>
  <si>
    <t>FP-2, FP-3; KP-1; RP-1, RP-2</t>
  </si>
  <si>
    <t>FP-1, FP-7; KP-2, KP-5; RP-3</t>
  </si>
  <si>
    <t>FP-5, FP-6; KP-3, KP-4</t>
  </si>
  <si>
    <t>FP-4, KP-6</t>
  </si>
  <si>
    <t>FMIA (Type I)</t>
  </si>
  <si>
    <t>FIA; KIA; RIA (Type II)</t>
  </si>
  <si>
    <t>FIB; KIB; RIB (Type IIa)</t>
  </si>
  <si>
    <t>FIC; KIC; RIC (Type III)</t>
  </si>
  <si>
    <t>FID; KID (Type IIIa)</t>
  </si>
  <si>
    <t>FIE; KIE; RID (Type IV)</t>
  </si>
  <si>
    <t>FIF; KIF; RIE; RIF (Type V)</t>
  </si>
  <si>
    <t>FIG (Type VI)</t>
  </si>
  <si>
    <t>FMWA (Type I)</t>
  </si>
  <si>
    <t>FWH (Type III)</t>
  </si>
  <si>
    <t>FWB; KWB; RWB (Type IIIa)</t>
  </si>
  <si>
    <t>FWD; FWE; KWD; KWE; RWC; RWE (Type IV)</t>
  </si>
  <si>
    <t>FWC; KWC; RWD (Type V)</t>
  </si>
  <si>
    <t>FWF; KWF; RWF (Type Va)</t>
  </si>
  <si>
    <t>FWG; KWG; RWG (Type VI)</t>
  </si>
  <si>
    <t>FTWA (Type VII)</t>
  </si>
  <si>
    <t>Emergency</t>
  </si>
  <si>
    <t>Standard</t>
  </si>
  <si>
    <t>LANDING CAPABILITY</t>
  </si>
  <si>
    <t>FSC (Class 1)</t>
  </si>
  <si>
    <t>FSE (Class 1)</t>
  </si>
  <si>
    <t>FSG (Class 1)</t>
  </si>
  <si>
    <t>FSJ (Class 1)</t>
  </si>
  <si>
    <t>FSM (Class 1)</t>
  </si>
  <si>
    <t>FSB (Class 2)</t>
  </si>
  <si>
    <t>FSD (Class 2)</t>
  </si>
  <si>
    <t>FSF (Class 2)</t>
  </si>
  <si>
    <t>FSH (Class 2)</t>
  </si>
  <si>
    <t>FSK (Class 2)</t>
  </si>
  <si>
    <t>FSN (Class 2)</t>
  </si>
  <si>
    <t>FSI (Class 2a)</t>
  </si>
  <si>
    <t>FSL (Class 2a)</t>
  </si>
  <si>
    <t>FSO (Class 2a)</t>
  </si>
  <si>
    <t>FSP (Class 3)</t>
  </si>
  <si>
    <t>FSS (Class 4)</t>
  </si>
  <si>
    <t>KSA (HPG 2</t>
  </si>
  <si>
    <t>FSA (HPG 3)</t>
  </si>
  <si>
    <t>KSB (HPG 2)</t>
  </si>
  <si>
    <t>KSC (Class 1)</t>
  </si>
  <si>
    <t>KSE (Class 1)</t>
  </si>
  <si>
    <t>KSI (Class 1)</t>
  </si>
  <si>
    <t>KSM (Class 1)</t>
  </si>
  <si>
    <t>KSD (Class 2)</t>
  </si>
  <si>
    <t>KSG (Class 2)</t>
  </si>
  <si>
    <t>KSK (Class 2)</t>
  </si>
  <si>
    <t>KSO (Class 2)</t>
  </si>
  <si>
    <t>KSF (Class 2b)</t>
  </si>
  <si>
    <t>KSJ (Class 2b)</t>
  </si>
  <si>
    <t>KSN (Class 2b)</t>
  </si>
  <si>
    <t>KSH (Class 2a)</t>
  </si>
  <si>
    <t>KSL (Class 2a)</t>
  </si>
  <si>
    <t>KSP (Class 2a)</t>
  </si>
  <si>
    <t>RSA (HPG 1)</t>
  </si>
  <si>
    <t>RSB (HPG 2)</t>
  </si>
  <si>
    <t>RSD (HPG 3)</t>
  </si>
  <si>
    <t>RSG (Class 1)</t>
  </si>
  <si>
    <t>RSJ (Class 1)</t>
  </si>
  <si>
    <t>RSM (Class 1)</t>
  </si>
  <si>
    <t>RSC (HPG 3)</t>
  </si>
  <si>
    <t>RSE (Class 2)</t>
  </si>
  <si>
    <t>RSH (Class 2)</t>
  </si>
  <si>
    <t>RSK (Class 2)</t>
  </si>
  <si>
    <t>RSN (Class 2)</t>
  </si>
  <si>
    <t>RSF (Class 2a)</t>
  </si>
  <si>
    <t>RSI (Class 2a)</t>
  </si>
  <si>
    <t>RSL (Class 2a)</t>
  </si>
  <si>
    <t>RSO (Class 2a)</t>
  </si>
  <si>
    <t>PLASMA WEAPON</t>
  </si>
  <si>
    <t>TABLE 1.22 ALIEN MISSILE WEAPON COSTS (STARSHIPS)</t>
  </si>
  <si>
    <t>OFF.</t>
  </si>
  <si>
    <t>MIN. SIZE</t>
  </si>
  <si>
    <t>RPL-2</t>
  </si>
  <si>
    <t>RPL-1 (RPT-1)</t>
  </si>
  <si>
    <t>RPL-3 (RPT-3)</t>
  </si>
  <si>
    <t>TABLE 1.23 PLASMA TORPEDO PENETRATION (STARSHIPS)</t>
  </si>
  <si>
    <t>Plasma Penetration</t>
  </si>
  <si>
    <t>0-9</t>
  </si>
  <si>
    <t>110-134</t>
  </si>
  <si>
    <t>135+</t>
  </si>
  <si>
    <t>3/2/1/0/0</t>
  </si>
  <si>
    <t>4/3/2/1/0</t>
  </si>
  <si>
    <t>5/4/3/2/1</t>
  </si>
  <si>
    <t>6/5/4/3/2</t>
  </si>
  <si>
    <t>7/6/5/4/3</t>
  </si>
  <si>
    <t>8/7/6/5/4</t>
  </si>
  <si>
    <t>9/8/7/6/5</t>
  </si>
  <si>
    <t>10/9/8/7/6</t>
  </si>
  <si>
    <t>11/10/9/8/7</t>
  </si>
  <si>
    <t>12/11/10/9/8</t>
  </si>
  <si>
    <t>13/12/11/10/9</t>
  </si>
  <si>
    <t>110</t>
  </si>
  <si>
    <t>COMBINED BEAM, MISSILE &amp; PLASMA OFFENSIVE VALUE</t>
  </si>
  <si>
    <t>LASER CANNONS</t>
  </si>
  <si>
    <t>FL-1, FL-2, FL-3</t>
  </si>
  <si>
    <t>FL-4, FL-5, FL-6</t>
  </si>
  <si>
    <t>TABLE 1.17 21st/22nd CENTURY BEAM &amp; MISSILE PENETRATION</t>
  </si>
  <si>
    <t>Total Offense</t>
  </si>
  <si>
    <t>Reliability</t>
  </si>
  <si>
    <t>1/0/0/0/0</t>
  </si>
  <si>
    <t>2/0/0/0/0</t>
  </si>
  <si>
    <t>2/1/0/0/0</t>
  </si>
  <si>
    <t>2/2/0/0/0</t>
  </si>
  <si>
    <t>2/2/1/0/0</t>
  </si>
  <si>
    <t>3/2/2/0/0</t>
  </si>
  <si>
    <t>3/3/3/0/0</t>
  </si>
  <si>
    <t>4/4/3/0/0</t>
  </si>
  <si>
    <t>5/4/4/0/0</t>
  </si>
  <si>
    <t>MICROTORPEDO</t>
  </si>
  <si>
    <t>ACCELERATOR CANNON</t>
  </si>
  <si>
    <t>LCS-8</t>
  </si>
  <si>
    <t>LCS-42</t>
  </si>
  <si>
    <t>FAC-1, FAC-2</t>
  </si>
  <si>
    <t>FAC-3</t>
  </si>
  <si>
    <t>FST I</t>
  </si>
  <si>
    <t>FST II</t>
  </si>
  <si>
    <t>1/1/1/0/0</t>
  </si>
  <si>
    <t>5/5/5/0/0</t>
  </si>
  <si>
    <t>D-32 Stronger Bird</t>
  </si>
  <si>
    <t>Klingon Empire</t>
  </si>
  <si>
    <t>CARGO UNITS</t>
  </si>
  <si>
    <t>ADDITIONAL CARGO UNITS</t>
  </si>
  <si>
    <t xml:space="preserve">    TOTAL CARGO UNITS</t>
  </si>
  <si>
    <t>CARGO CAPACITY</t>
  </si>
  <si>
    <t>Class 1 (L-12, L-13; ZD-1, ZD-2; R1M)</t>
  </si>
  <si>
    <t>Class 3 (M-1, M-2; ZD-4; ZD-5, ZD-6; R4M, R5M)</t>
  </si>
  <si>
    <t>Class 4 (M-3, M-4, M-6, M-7, M-8; ZD-5, ZD-6, ZD-7, ZD-8; R4M, R5M, R6M, R6M-1)</t>
  </si>
  <si>
    <t>Class 2 (L-14; ZD-3; R2M, R3M)</t>
  </si>
  <si>
    <t>BASED ON</t>
  </si>
  <si>
    <t>SHIP CATEGORIES</t>
  </si>
  <si>
    <t>BASED ON:</t>
  </si>
  <si>
    <t>BEAM WEAPONS</t>
  </si>
  <si>
    <t>BEAM WEAPON TYPE 1</t>
  </si>
  <si>
    <t>BEAM WEAPON TYPE 2</t>
  </si>
  <si>
    <t>BEAM WEAPON 2 PENETRATION</t>
  </si>
  <si>
    <t>BEAM WEAPON 2 RELIABILITY</t>
  </si>
  <si>
    <t>BEAM WEAPON 1 PENETRATION</t>
  </si>
  <si>
    <t>COMBINED BEAM WEAPON 1 &amp; 2 PENETRATION</t>
  </si>
  <si>
    <t>COMBINED BEAM WEAPON OFFENSIVE VALUE</t>
  </si>
  <si>
    <t>MISSILE RELIABILITY</t>
  </si>
  <si>
    <t>PLASMA RELIABILITY</t>
  </si>
  <si>
    <t>COMBINED WEAPON SYSTEMS RELIABILITY</t>
  </si>
  <si>
    <t>WARP COST SIZE RESTRICTION</t>
  </si>
  <si>
    <t>Class 1 (KCA, KCB, KCC; RCA, RCB, RCC)</t>
  </si>
  <si>
    <t>Class 2 (KCD, RCD)</t>
  </si>
  <si>
    <t>Class 3 (RCE)</t>
  </si>
  <si>
    <t>1 Cargo Unit = 25m3</t>
  </si>
  <si>
    <t>COMBINED MISSILE WEAPON OFFENSIVE VALUE</t>
  </si>
  <si>
    <t>COMBINED MISSILE WEAPON 1 &amp; 2 PENETRATION</t>
  </si>
  <si>
    <t>COMBINED BEAM WEAPON 1 &amp; 2 RELIABILITY</t>
  </si>
  <si>
    <t>COMBINED MISSILE WEAPON 1 &amp; 2 RELIABILITY</t>
  </si>
  <si>
    <t>MISSILE WEAPON TYPE 1</t>
  </si>
  <si>
    <t>MISSILE WEAPON TYPE 2</t>
  </si>
  <si>
    <t>MISSILE WEAPONS</t>
  </si>
  <si>
    <t>SCU EQUIVALENT</t>
  </si>
  <si>
    <t>PRODUCTION DATA</t>
  </si>
  <si>
    <t>Origin:</t>
  </si>
  <si>
    <t>Class and Type:</t>
  </si>
  <si>
    <t xml:space="preserve">Stardate Launched: </t>
  </si>
  <si>
    <t>HULL DATA</t>
  </si>
  <si>
    <t>Structure:</t>
  </si>
  <si>
    <t>Size/Decks:</t>
  </si>
  <si>
    <t>Length/Height/Beam:</t>
  </si>
  <si>
    <t>Compliment:</t>
  </si>
  <si>
    <t>OPERATIONAL DATA</t>
  </si>
  <si>
    <t>Transporters:</t>
  </si>
  <si>
    <t>Cargo Units/Cargo Capacity:</t>
  </si>
  <si>
    <t>Shuttlebay:</t>
  </si>
  <si>
    <t>Shuttlecraft:</t>
  </si>
  <si>
    <t>Tractor Beams:</t>
  </si>
  <si>
    <t>Separation System:</t>
  </si>
  <si>
    <t>Landing Capability:</t>
  </si>
  <si>
    <t>Cloaking Device:</t>
  </si>
  <si>
    <t>Sensor System</t>
  </si>
  <si>
    <t>Operations System:</t>
  </si>
  <si>
    <t>Life Support:</t>
  </si>
  <si>
    <t>PROPULSION DATA</t>
  </si>
  <si>
    <t>Impulse System:</t>
  </si>
  <si>
    <t>Warp System:</t>
  </si>
  <si>
    <t>TACTICAL DATA</t>
  </si>
  <si>
    <t>Disruptor Cannons:</t>
  </si>
  <si>
    <t xml:space="preserve">   Penetration:</t>
  </si>
  <si>
    <t>Photon Torpedoes:</t>
  </si>
  <si>
    <t>Deflector Shields:</t>
  </si>
  <si>
    <t xml:space="preserve">   Protection/Threshold</t>
  </si>
  <si>
    <t>MISCELLANEOUS DATA</t>
  </si>
  <si>
    <t>Maneuver Modifiers:</t>
  </si>
  <si>
    <t>Traits:</t>
  </si>
  <si>
    <t>FWI</t>
  </si>
  <si>
    <t>2000</t>
  </si>
  <si>
    <t>FWA; FWI; KWA; RWA (Type II)</t>
  </si>
  <si>
    <r>
      <t>MAX</t>
    </r>
    <r>
      <rPr>
        <b/>
        <i/>
        <sz val="10"/>
        <rFont val="Arial"/>
        <family val="2"/>
      </rPr>
      <t xml:space="preserve"> c</t>
    </r>
  </si>
  <si>
    <t>FASA</t>
  </si>
  <si>
    <t>Decipher</t>
  </si>
  <si>
    <t>Rating</t>
  </si>
  <si>
    <t>SPR 1/1</t>
  </si>
  <si>
    <t>SPR 1/2</t>
  </si>
  <si>
    <t>SPR 2/3</t>
  </si>
  <si>
    <t>SPR 1/3</t>
  </si>
  <si>
    <t>SPR 1/4</t>
  </si>
  <si>
    <t>Fields in Pink are auto-calculated.  Do not type in this field.</t>
  </si>
  <si>
    <t>Fields in Periwinkle denote a drop-down menu. Do not type in this field</t>
  </si>
  <si>
    <t>Fields in White require manual input.</t>
  </si>
  <si>
    <t>Release Date: 5/29/2015 by Lee Wood (groups.yahoo.com/neo/groups/Morena_Shipyards/info)</t>
  </si>
  <si>
    <t>FASA Starship to Decipher Starship Workbook</t>
  </si>
  <si>
    <t>1 Cargo Unit = 25 m3</t>
  </si>
  <si>
    <t>Explorer</t>
  </si>
  <si>
    <t>Decipher's narrative starship combat is almost stand-alone system.  It almost ready to be plugged into other game systems as-is.  All one must really do is convert ships (although there are several already formatted in the aforementioned books) and determine the equivalent skill and skill modifiers for the system's "Maneuvers" (basically character skill tests used to control a ship).</t>
  </si>
  <si>
    <t>This is a work in progress that has been designed in a bubble.  I appreciate any and all feedback!  This was a proof of concept that morphed into what you see now.  It could be a little "prettier", but since this was for my own use I didn't sink any more time into to make it such.</t>
  </si>
  <si>
    <r>
      <t xml:space="preserve">The data in this workbook is derived from the </t>
    </r>
    <r>
      <rPr>
        <i/>
        <sz val="10"/>
        <rFont val="Arial"/>
        <family val="2"/>
      </rPr>
      <t>Ship Construction Manual</t>
    </r>
    <r>
      <rPr>
        <sz val="10"/>
        <rFont val="Arial"/>
        <family val="2"/>
      </rPr>
      <t xml:space="preserve">, 2nd Edition by FASA, and the </t>
    </r>
    <r>
      <rPr>
        <i/>
        <sz val="10"/>
        <rFont val="Arial"/>
        <family val="2"/>
      </rPr>
      <t>Narrator's Guide</t>
    </r>
    <r>
      <rPr>
        <sz val="10"/>
        <rFont val="Arial"/>
        <family val="2"/>
      </rPr>
      <t xml:space="preserve"> and </t>
    </r>
    <r>
      <rPr>
        <i/>
        <sz val="10"/>
        <rFont val="Arial"/>
        <family val="2"/>
      </rPr>
      <t>Starships</t>
    </r>
    <r>
      <rPr>
        <sz val="10"/>
        <rFont val="Arial"/>
        <family val="2"/>
      </rPr>
      <t xml:space="preserve"> books by Decipher.  </t>
    </r>
    <r>
      <rPr>
        <i/>
        <sz val="10"/>
        <rFont val="Arial"/>
        <family val="2"/>
      </rPr>
      <t>Starships</t>
    </r>
    <r>
      <rPr>
        <sz val="10"/>
        <rFont val="Arial"/>
        <family val="2"/>
      </rPr>
      <t xml:space="preserve"> was consulted to help convert a small amount of FASA equipment to a Decipher equivalent, and to figure some non-combat components.  However, for simplicity the vast majority of the entries in the equipment lists are from the </t>
    </r>
    <r>
      <rPr>
        <i/>
        <sz val="10"/>
        <rFont val="Arial"/>
        <family val="2"/>
      </rPr>
      <t>Narrator's Guide</t>
    </r>
    <r>
      <rPr>
        <sz val="10"/>
        <rFont val="Arial"/>
        <family val="2"/>
      </rPr>
      <t>.</t>
    </r>
  </si>
  <si>
    <r>
      <t xml:space="preserve">This workbook was created for my own games.  I really like the narrative combat rules from Decipher, and wanted to be able to use the familiar ships of the FASA universe with those rules.  I encourage everyone to give them a try by checking out the </t>
    </r>
    <r>
      <rPr>
        <i/>
        <sz val="10"/>
        <rFont val="Arial"/>
        <family val="2"/>
      </rPr>
      <t>Narrator's Guide</t>
    </r>
    <r>
      <rPr>
        <sz val="10"/>
        <rFont val="Arial"/>
        <family val="2"/>
      </rPr>
      <t xml:space="preserve"> by Decipher.</t>
    </r>
  </si>
  <si>
    <r>
      <t xml:space="preserve">This workbook allows the conversion of a ship from the </t>
    </r>
    <r>
      <rPr>
        <i/>
        <sz val="10"/>
        <rFont val="Arial"/>
        <family val="2"/>
      </rPr>
      <t>Star Trek: Starship Tactical Combat Simulator Game</t>
    </r>
    <r>
      <rPr>
        <sz val="10"/>
        <rFont val="Arial"/>
        <family val="2"/>
      </rPr>
      <t xml:space="preserve"> by FASA to be converted into a ship compatible with </t>
    </r>
    <r>
      <rPr>
        <i/>
        <sz val="10"/>
        <rFont val="Arial"/>
        <family val="2"/>
      </rPr>
      <t>Star Trek Role Playing Game</t>
    </r>
    <r>
      <rPr>
        <sz val="10"/>
        <rFont val="Arial"/>
        <family val="2"/>
      </rPr>
      <t xml:space="preserve"> by Decipher.  Some familiarity with both games is useful in order to understand how to use this workbook.  </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</si>
</sst>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amily val="2"/>
    </font>
    <font>
      <sz val="11"/>
      <color indexed="10"/>
      <name val="Calibri"/>
      <family val="2"/>
    </font>
    <font>
      <b/>
      <sz val="11"/>
      <color indexed="8"/>
      <name val="Calibri"/>
      <family val="2"/>
    </font>
    <font>
      <sz val="10"/>
      <name val="Arial"/>
      <family val="2"/>
    </font>
    <font>
      <sz val="10"/>
      <color indexed="10"/>
      <name val="Arial"/>
      <family val="2"/>
    </font>
    <font>
      <sz val="10"/>
      <color indexed="10"/>
      <name val="Arial"/>
      <family val="2"/>
    </font>
    <font>
      <b/>
      <sz val="10"/>
      <color indexed="9"/>
      <name val="Arial"/>
      <family val="2"/>
    </font>
    <font>
      <sz val="10"/>
      <color indexed="36"/>
      <name val="Arial"/>
      <family val="2"/>
    </font>
    <font>
      <b/>
      <sz val="10"/>
      <color indexed="36"/>
      <name val="Arial"/>
      <family val="2"/>
    </font>
    <font>
      <b/>
      <sz val="10"/>
      <name val="Arial"/>
      <family val="2"/>
    </font>
    <font>
      <i/>
      <sz val="10"/>
      <name val="Arial"/>
      <family val="2"/>
    </font>
    <font>
      <b/>
      <sz val="8"/>
      <color indexed="81"/>
      <name val="Tahoma"/>
      <family val="2"/>
    </font>
    <font>
      <sz val="8"/>
      <color indexed="81"/>
      <name val="Tahoma"/>
      <family val="2"/>
    </font>
    <font>
      <sz val="8"/>
      <name val="Arial"/>
      <family val="2"/>
    </font>
    <font>
      <b/>
      <sz val="10"/>
      <color indexed="10"/>
      <name val="Arial"/>
      <family val="2"/>
    </font>
    <font>
      <sz val="10"/>
      <color indexed="20"/>
      <name val="Arial"/>
      <family val="2"/>
    </font>
    <font>
      <b/>
      <sz val="10"/>
      <color indexed="20"/>
      <name val="Arial"/>
      <family val="2"/>
    </font>
    <font>
      <b/>
      <sz val="10"/>
      <color indexed="46"/>
      <name val="Arial"/>
      <family val="2"/>
    </font>
    <font>
      <sz val="10"/>
      <color indexed="55"/>
      <name val="Arial"/>
      <family val="2"/>
    </font>
    <font>
      <b/>
      <i/>
      <sz val="10"/>
      <name val="Arial"/>
      <family val="2"/>
    </font>
    <font>
      <sz val="10"/>
      <color theme="0" tint="-4.9989318521683403E-2"/>
      <name val="Arial"/>
      <family val="2"/>
    </font>
    <font>
      <b/>
      <sz val="14"/>
      <name val="Arial"/>
      <family val="2"/>
    </font>
  </fonts>
  <fills count="19">
    <fill>
      <patternFill patternType="none"/>
    </fill>
    <fill>
      <patternFill patternType="gray125"/>
    </fill>
    <fill>
      <patternFill patternType="solid">
        <fgColor indexed="13"/>
        <bgColor indexed="64"/>
      </patternFill>
    </fill>
    <fill>
      <patternFill patternType="solid">
        <fgColor indexed="60"/>
        <bgColor indexed="64"/>
      </patternFill>
    </fill>
    <fill>
      <patternFill patternType="solid">
        <fgColor indexed="29"/>
        <bgColor indexed="64"/>
      </patternFill>
    </fill>
    <fill>
      <patternFill patternType="solid">
        <fgColor indexed="45"/>
        <bgColor indexed="64"/>
      </patternFill>
    </fill>
    <fill>
      <patternFill patternType="solid">
        <fgColor indexed="31"/>
        <bgColor indexed="64"/>
      </patternFill>
    </fill>
    <fill>
      <patternFill patternType="solid">
        <fgColor indexed="50"/>
        <bgColor indexed="64"/>
      </patternFill>
    </fill>
    <fill>
      <patternFill patternType="solid">
        <fgColor indexed="36"/>
        <bgColor indexed="64"/>
      </patternFill>
    </fill>
    <fill>
      <patternFill patternType="solid">
        <fgColor indexed="11"/>
        <bgColor indexed="64"/>
      </patternFill>
    </fill>
    <fill>
      <patternFill patternType="solid">
        <fgColor indexed="30"/>
        <bgColor indexed="64"/>
      </patternFill>
    </fill>
    <fill>
      <patternFill patternType="solid">
        <fgColor indexed="44"/>
        <bgColor indexed="64"/>
      </patternFill>
    </fill>
    <fill>
      <patternFill patternType="solid">
        <fgColor indexed="46"/>
        <bgColor indexed="64"/>
      </patternFill>
    </fill>
    <fill>
      <patternFill patternType="solid">
        <fgColor indexed="15"/>
        <bgColor indexed="64"/>
      </patternFill>
    </fill>
    <fill>
      <patternFill patternType="solid">
        <fgColor indexed="48"/>
        <bgColor indexed="64"/>
      </patternFill>
    </fill>
    <fill>
      <patternFill patternType="solid">
        <fgColor rgb="FFFFFF00"/>
        <bgColor indexed="64"/>
      </patternFill>
    </fill>
    <fill>
      <patternFill patternType="solid">
        <fgColor rgb="FFFF7C80"/>
        <bgColor indexed="64"/>
      </patternFill>
    </fill>
    <fill>
      <patternFill patternType="solid">
        <fgColor theme="4" tint="0.59996337778862885"/>
        <bgColor indexed="64"/>
      </patternFill>
    </fill>
    <fill>
      <patternFill patternType="solid">
        <fgColor rgb="FFF07ECF"/>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9">
    <xf numFmtId="0" fontId="0" fillId="0" borderId="0" xfId="0"/>
    <xf numFmtId="0" fontId="0" fillId="0" borderId="0" xfId="0"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center"/>
    </xf>
    <xf numFmtId="0" fontId="3" fillId="0" borderId="0" xfId="0" applyFont="1" applyAlignment="1">
      <alignment horizontal="center"/>
    </xf>
    <xf numFmtId="0" fontId="0" fillId="3" borderId="0" xfId="0" applyFill="1"/>
    <xf numFmtId="0" fontId="0" fillId="4" borderId="0" xfId="0" applyFill="1"/>
    <xf numFmtId="0" fontId="0" fillId="5" borderId="0" xfId="0" applyFill="1" applyAlignment="1">
      <alignment horizontal="center"/>
    </xf>
    <xf numFmtId="0" fontId="0" fillId="5" borderId="0" xfId="0" applyFill="1"/>
    <xf numFmtId="0" fontId="4" fillId="5" borderId="0" xfId="0" applyFont="1" applyFill="1"/>
    <xf numFmtId="0" fontId="5" fillId="0" borderId="0" xfId="0" applyFont="1" applyAlignment="1">
      <alignment horizontal="right"/>
    </xf>
    <xf numFmtId="0" fontId="0" fillId="6" borderId="0" xfId="0" applyFill="1" applyAlignment="1">
      <alignment horizontal="center"/>
    </xf>
    <xf numFmtId="0" fontId="5" fillId="0" borderId="0" xfId="0" applyFont="1"/>
    <xf numFmtId="0" fontId="3" fillId="0" borderId="0" xfId="0" applyFont="1"/>
    <xf numFmtId="49" fontId="0" fillId="0" borderId="0" xfId="0" applyNumberFormat="1"/>
    <xf numFmtId="0" fontId="0" fillId="4" borderId="0" xfId="0" applyFill="1" applyAlignment="1">
      <alignment horizontal="center"/>
    </xf>
    <xf numFmtId="49" fontId="0" fillId="0" borderId="0" xfId="0" applyNumberFormat="1" applyAlignment="1">
      <alignment horizontal="center"/>
    </xf>
    <xf numFmtId="0" fontId="0" fillId="2" borderId="0" xfId="0" applyFill="1" applyAlignment="1">
      <alignment horizontal="center"/>
    </xf>
    <xf numFmtId="16" fontId="3" fillId="0" borderId="0" xfId="0" applyNumberFormat="1" applyFont="1" applyAlignment="1">
      <alignment horizontal="center"/>
    </xf>
    <xf numFmtId="0" fontId="3" fillId="4" borderId="0" xfId="0" applyFont="1" applyFill="1"/>
    <xf numFmtId="0" fontId="0" fillId="0" borderId="0" xfId="0" applyAlignment="1">
      <alignment horizontal="right"/>
    </xf>
    <xf numFmtId="0" fontId="0" fillId="4" borderId="0" xfId="0" applyFont="1" applyFill="1" applyAlignment="1">
      <alignment horizontal="center"/>
    </xf>
    <xf numFmtId="0" fontId="3" fillId="0" borderId="0" xfId="0" applyNumberFormat="1" applyFont="1"/>
    <xf numFmtId="16" fontId="3" fillId="2" borderId="0" xfId="0" applyNumberFormat="1" applyFont="1" applyFill="1" applyAlignment="1">
      <alignment horizontal="center"/>
    </xf>
    <xf numFmtId="0" fontId="3" fillId="0" borderId="0" xfId="0" applyFont="1" applyAlignment="1">
      <alignment horizontal="right"/>
    </xf>
    <xf numFmtId="0" fontId="7" fillId="0" borderId="0" xfId="0" applyFont="1"/>
    <xf numFmtId="0" fontId="8" fillId="0" borderId="0" xfId="0" applyFont="1"/>
    <xf numFmtId="49" fontId="0" fillId="0" borderId="0" xfId="0" applyNumberFormat="1" applyFont="1" applyAlignment="1">
      <alignment horizontal="center"/>
    </xf>
    <xf numFmtId="0" fontId="4" fillId="0" borderId="0" xfId="0" applyFont="1" applyAlignment="1">
      <alignment horizontal="center"/>
    </xf>
    <xf numFmtId="49" fontId="0" fillId="0" borderId="0" xfId="0" applyNumberFormat="1" applyFont="1"/>
    <xf numFmtId="49" fontId="3" fillId="0" borderId="0" xfId="0" applyNumberFormat="1" applyFont="1" applyAlignment="1">
      <alignment horizontal="center"/>
    </xf>
    <xf numFmtId="0" fontId="9" fillId="2" borderId="0" xfId="0" applyFont="1" applyFill="1"/>
    <xf numFmtId="0" fontId="4" fillId="0" borderId="0" xfId="0" applyFont="1" applyAlignment="1">
      <alignment horizontal="right"/>
    </xf>
    <xf numFmtId="0" fontId="5" fillId="4" borderId="0" xfId="0" applyFont="1" applyFill="1"/>
    <xf numFmtId="49" fontId="3" fillId="0" borderId="0" xfId="0" applyNumberFormat="1" applyFont="1"/>
    <xf numFmtId="49" fontId="0" fillId="0" borderId="0" xfId="0" applyNumberFormat="1" applyFill="1"/>
    <xf numFmtId="0" fontId="4" fillId="0" borderId="0" xfId="0" applyFont="1"/>
    <xf numFmtId="0" fontId="0" fillId="4" borderId="0" xfId="0" applyFill="1" applyAlignment="1">
      <alignment horizontal="left"/>
    </xf>
    <xf numFmtId="0" fontId="3" fillId="0" borderId="0" xfId="0" applyFont="1" applyFill="1" applyBorder="1" applyAlignment="1">
      <alignment horizontal="center"/>
    </xf>
    <xf numFmtId="0" fontId="0" fillId="0" borderId="1" xfId="0" applyBorder="1"/>
    <xf numFmtId="0" fontId="0" fillId="0" borderId="2" xfId="0" applyBorder="1"/>
    <xf numFmtId="0" fontId="3" fillId="0" borderId="0" xfId="0" applyFont="1" applyBorder="1"/>
    <xf numFmtId="0" fontId="3" fillId="0" borderId="0" xfId="0" applyFont="1" applyBorder="1" applyAlignment="1">
      <alignment horizontal="center"/>
    </xf>
    <xf numFmtId="0" fontId="0" fillId="0" borderId="3" xfId="0" applyBorder="1" applyAlignment="1">
      <alignment horizontal="center"/>
    </xf>
    <xf numFmtId="0" fontId="0" fillId="0" borderId="4" xfId="0" applyBorder="1"/>
    <xf numFmtId="0" fontId="0" fillId="0" borderId="0" xfId="0" applyBorder="1"/>
    <xf numFmtId="0" fontId="0" fillId="0" borderId="5" xfId="0" applyBorder="1"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0" borderId="0" xfId="0" applyFill="1" applyAlignment="1">
      <alignment horizontal="center"/>
    </xf>
    <xf numFmtId="0" fontId="3" fillId="0" borderId="0" xfId="0" applyNumberFormat="1" applyFont="1" applyAlignment="1">
      <alignment horizontal="center"/>
    </xf>
    <xf numFmtId="0" fontId="0" fillId="0" borderId="5" xfId="0" applyBorder="1"/>
    <xf numFmtId="0" fontId="0" fillId="0" borderId="6" xfId="0" applyBorder="1"/>
    <xf numFmtId="0" fontId="0" fillId="0" borderId="7" xfId="0" applyBorder="1"/>
    <xf numFmtId="0" fontId="8" fillId="0" borderId="7" xfId="0" applyFont="1" applyBorder="1"/>
    <xf numFmtId="0" fontId="0" fillId="0" borderId="8" xfId="0" applyBorder="1"/>
    <xf numFmtId="0" fontId="8" fillId="0" borderId="8" xfId="0" applyFont="1" applyBorder="1"/>
    <xf numFmtId="49" fontId="1" fillId="0" borderId="0" xfId="0" applyNumberFormat="1" applyFont="1"/>
    <xf numFmtId="49" fontId="0" fillId="7" borderId="0" xfId="0" applyNumberFormat="1" applyFill="1"/>
    <xf numFmtId="49" fontId="0" fillId="2" borderId="0" xfId="0" applyNumberFormat="1" applyFill="1"/>
    <xf numFmtId="49" fontId="9" fillId="0" borderId="0" xfId="0" applyNumberFormat="1" applyFont="1"/>
    <xf numFmtId="49" fontId="3" fillId="0" borderId="0" xfId="0" applyNumberFormat="1" applyFont="1" applyAlignment="1">
      <alignment horizontal="right"/>
    </xf>
    <xf numFmtId="49" fontId="0" fillId="9" borderId="0" xfId="0" applyNumberFormat="1" applyFill="1"/>
    <xf numFmtId="49" fontId="0" fillId="4" borderId="0" xfId="0" applyNumberFormat="1" applyFill="1"/>
    <xf numFmtId="49" fontId="1" fillId="10" borderId="0" xfId="0" applyNumberFormat="1" applyFont="1" applyFill="1"/>
    <xf numFmtId="49" fontId="0" fillId="10" borderId="0" xfId="0" applyNumberFormat="1" applyFill="1"/>
    <xf numFmtId="0" fontId="2" fillId="0" borderId="0" xfId="0" applyFont="1"/>
    <xf numFmtId="49" fontId="2" fillId="0" borderId="0" xfId="0" applyNumberFormat="1" applyFont="1"/>
    <xf numFmtId="0" fontId="0" fillId="0" borderId="0" xfId="0" applyFont="1" applyFill="1" applyBorder="1"/>
    <xf numFmtId="49" fontId="3" fillId="2" borderId="0" xfId="0" applyNumberFormat="1" applyFont="1" applyFill="1"/>
    <xf numFmtId="0" fontId="3" fillId="2" borderId="0" xfId="0" applyFont="1" applyFill="1" applyBorder="1" applyAlignment="1">
      <alignment horizontal="center"/>
    </xf>
    <xf numFmtId="0" fontId="0" fillId="2" borderId="0" xfId="0" applyFill="1" applyBorder="1" applyAlignment="1">
      <alignment horizontal="center"/>
    </xf>
    <xf numFmtId="0" fontId="3" fillId="2" borderId="0" xfId="0" applyFont="1" applyFill="1" applyBorder="1"/>
    <xf numFmtId="0" fontId="9" fillId="2" borderId="0" xfId="0" applyFont="1" applyFill="1" applyBorder="1"/>
    <xf numFmtId="0" fontId="9" fillId="0" borderId="0" xfId="0" applyFont="1" applyFill="1" applyBorder="1"/>
    <xf numFmtId="0" fontId="9" fillId="0" borderId="0" xfId="0" applyFont="1" applyBorder="1"/>
    <xf numFmtId="0" fontId="9" fillId="0" borderId="0" xfId="0" applyFont="1"/>
    <xf numFmtId="0" fontId="14" fillId="0" borderId="0" xfId="0" applyFont="1" applyBorder="1"/>
    <xf numFmtId="0" fontId="14" fillId="2" borderId="0" xfId="0" applyFont="1" applyFill="1" applyBorder="1"/>
    <xf numFmtId="0" fontId="0" fillId="2" borderId="0" xfId="0" applyFill="1"/>
    <xf numFmtId="0" fontId="3" fillId="2" borderId="0" xfId="0" applyFont="1" applyFill="1"/>
    <xf numFmtId="0" fontId="0" fillId="11" borderId="0" xfId="0" applyFill="1" applyAlignment="1">
      <alignment horizontal="center"/>
    </xf>
    <xf numFmtId="0" fontId="3" fillId="11" borderId="0" xfId="0" applyFont="1" applyFill="1" applyAlignment="1">
      <alignment horizontal="center"/>
    </xf>
    <xf numFmtId="0" fontId="4" fillId="0" borderId="0" xfId="0" applyFont="1" applyBorder="1" applyAlignment="1">
      <alignment horizontal="center"/>
    </xf>
    <xf numFmtId="0" fontId="3" fillId="0" borderId="0" xfId="0" applyFont="1" applyFill="1" applyBorder="1"/>
    <xf numFmtId="49" fontId="3" fillId="0" borderId="0" xfId="0" applyNumberFormat="1" applyFont="1" applyFill="1" applyBorder="1" applyAlignment="1">
      <alignment horizontal="center"/>
    </xf>
    <xf numFmtId="0" fontId="3" fillId="0" borderId="0" xfId="0" applyFont="1" applyFill="1" applyAlignment="1">
      <alignment horizontal="center"/>
    </xf>
    <xf numFmtId="16" fontId="3" fillId="0" borderId="0" xfId="0" applyNumberFormat="1" applyFont="1" applyFill="1" applyAlignment="1">
      <alignment horizontal="center"/>
    </xf>
    <xf numFmtId="0" fontId="0" fillId="0" borderId="0" xfId="0" applyFill="1"/>
    <xf numFmtId="0" fontId="0" fillId="12" borderId="0" xfId="0" applyFill="1"/>
    <xf numFmtId="0" fontId="14" fillId="0" borderId="0" xfId="0" applyFont="1"/>
    <xf numFmtId="0" fontId="14" fillId="0" borderId="0" xfId="0" applyFont="1" applyAlignment="1">
      <alignment horizontal="left"/>
    </xf>
    <xf numFmtId="0" fontId="0" fillId="4" borderId="0" xfId="0" applyFill="1" applyAlignment="1">
      <alignment horizontal="right"/>
    </xf>
    <xf numFmtId="0" fontId="3" fillId="4" borderId="0" xfId="0" applyFont="1" applyFill="1" applyAlignment="1">
      <alignment horizontal="right"/>
    </xf>
    <xf numFmtId="0" fontId="4" fillId="4" borderId="0" xfId="0" applyFont="1" applyFill="1"/>
    <xf numFmtId="0" fontId="0" fillId="12" borderId="0" xfId="0" applyFill="1" applyAlignment="1">
      <alignment horizontal="right"/>
    </xf>
    <xf numFmtId="0" fontId="4" fillId="5" borderId="0" xfId="0" applyFont="1" applyFill="1" applyAlignment="1">
      <alignment horizontal="center"/>
    </xf>
    <xf numFmtId="0" fontId="4" fillId="5" borderId="0" xfId="0" applyFont="1" applyFill="1" applyAlignment="1"/>
    <xf numFmtId="0" fontId="6" fillId="3" borderId="0" xfId="0" applyFont="1" applyFill="1" applyAlignment="1">
      <alignment horizontal="center"/>
    </xf>
    <xf numFmtId="49" fontId="0" fillId="13" borderId="0" xfId="0" applyNumberFormat="1" applyFill="1"/>
    <xf numFmtId="0" fontId="15" fillId="0" borderId="0" xfId="0" applyFont="1"/>
    <xf numFmtId="0" fontId="7" fillId="0" borderId="0" xfId="0" applyFont="1" applyAlignment="1">
      <alignment horizontal="left"/>
    </xf>
    <xf numFmtId="0" fontId="0" fillId="0" borderId="0" xfId="0" applyAlignment="1">
      <alignment horizontal="left"/>
    </xf>
    <xf numFmtId="0" fontId="16" fillId="0" borderId="0" xfId="0" applyFont="1"/>
    <xf numFmtId="0" fontId="3" fillId="5" borderId="0" xfId="0" applyFont="1" applyFill="1" applyAlignment="1">
      <alignment horizontal="center"/>
    </xf>
    <xf numFmtId="0" fontId="3" fillId="0" borderId="0" xfId="0" applyFont="1" applyFill="1" applyAlignment="1">
      <alignment horizontal="right"/>
    </xf>
    <xf numFmtId="0" fontId="0" fillId="0" borderId="0" xfId="0" applyFill="1" applyAlignment="1">
      <alignment horizontal="right"/>
    </xf>
    <xf numFmtId="0" fontId="4" fillId="5" borderId="0" xfId="0" applyFont="1" applyFill="1" applyAlignment="1">
      <alignment horizontal="left"/>
    </xf>
    <xf numFmtId="0" fontId="0" fillId="11" borderId="0" xfId="0" applyFill="1"/>
    <xf numFmtId="0" fontId="0" fillId="0" borderId="0" xfId="0" applyFill="1" applyBorder="1" applyAlignment="1">
      <alignment horizontal="center"/>
    </xf>
    <xf numFmtId="0" fontId="18" fillId="5" borderId="0" xfId="0" applyFont="1" applyFill="1" applyAlignment="1">
      <alignment horizontal="center"/>
    </xf>
    <xf numFmtId="0" fontId="0" fillId="15" borderId="0" xfId="0" applyFill="1" applyAlignment="1">
      <alignment horizontal="center"/>
    </xf>
    <xf numFmtId="0" fontId="0" fillId="15" borderId="0" xfId="0" applyFill="1"/>
    <xf numFmtId="0" fontId="3" fillId="15" borderId="0" xfId="0" applyFont="1" applyFill="1"/>
    <xf numFmtId="0" fontId="0" fillId="5" borderId="0" xfId="0" applyFill="1" applyAlignment="1">
      <alignment horizontal="center"/>
    </xf>
    <xf numFmtId="0" fontId="6" fillId="3" borderId="0" xfId="0" applyFont="1" applyFill="1" applyAlignment="1">
      <alignment horizontal="center"/>
    </xf>
    <xf numFmtId="0" fontId="0" fillId="0" borderId="0" xfId="0" applyFont="1"/>
    <xf numFmtId="0" fontId="6" fillId="3" borderId="0" xfId="0" applyFont="1" applyFill="1" applyAlignment="1">
      <alignment horizontal="center"/>
    </xf>
    <xf numFmtId="0" fontId="17" fillId="12" borderId="0" xfId="0" applyFont="1" applyFill="1" applyAlignment="1">
      <alignment horizontal="center"/>
    </xf>
    <xf numFmtId="0" fontId="0" fillId="5" borderId="0" xfId="0" applyFill="1" applyAlignment="1">
      <alignment horizontal="center"/>
    </xf>
    <xf numFmtId="0" fontId="0" fillId="6" borderId="0" xfId="0" applyFill="1" applyAlignment="1">
      <alignment horizontal="left"/>
    </xf>
    <xf numFmtId="0" fontId="9" fillId="4" borderId="0" xfId="0" applyFont="1" applyFill="1" applyAlignment="1">
      <alignment horizontal="right"/>
    </xf>
    <xf numFmtId="0" fontId="9" fillId="4" borderId="0" xfId="0" applyFont="1" applyFill="1" applyBorder="1" applyAlignment="1">
      <alignment horizontal="right"/>
    </xf>
    <xf numFmtId="0" fontId="9" fillId="4" borderId="0" xfId="0" applyFont="1" applyFill="1"/>
    <xf numFmtId="49" fontId="20" fillId="8" borderId="0" xfId="0" applyNumberFormat="1" applyFont="1" applyFill="1"/>
    <xf numFmtId="49" fontId="20" fillId="10" borderId="0" xfId="0" applyNumberFormat="1" applyFont="1" applyFill="1"/>
    <xf numFmtId="49" fontId="20" fillId="14" borderId="0" xfId="0" applyNumberFormat="1" applyFont="1" applyFill="1"/>
    <xf numFmtId="49" fontId="9" fillId="0" borderId="0" xfId="0" applyNumberFormat="1" applyFont="1" applyFill="1"/>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center" vertical="top" wrapText="1"/>
    </xf>
    <xf numFmtId="0" fontId="4" fillId="5" borderId="9" xfId="0" applyFont="1" applyFill="1" applyBorder="1" applyAlignment="1">
      <alignment horizontal="center"/>
    </xf>
    <xf numFmtId="0" fontId="21" fillId="0" borderId="0" xfId="0" applyFont="1" applyAlignment="1">
      <alignment horizontal="center" vertical="top"/>
    </xf>
    <xf numFmtId="0" fontId="0" fillId="16" borderId="0" xfId="0" applyFill="1"/>
    <xf numFmtId="0" fontId="0" fillId="16" borderId="0" xfId="0" applyFill="1" applyAlignment="1">
      <alignment horizontal="right"/>
    </xf>
    <xf numFmtId="0" fontId="17" fillId="16" borderId="0" xfId="0" applyFont="1" applyFill="1" applyAlignment="1"/>
    <xf numFmtId="0" fontId="0" fillId="0" borderId="0" xfId="0" applyAlignment="1">
      <alignment horizontal="left"/>
    </xf>
    <xf numFmtId="0" fontId="0" fillId="17" borderId="0" xfId="0" applyFill="1" applyAlignment="1">
      <alignment horizontal="left"/>
    </xf>
    <xf numFmtId="0" fontId="0" fillId="18" borderId="0" xfId="0" applyFill="1" applyAlignment="1">
      <alignment horizontal="left"/>
    </xf>
  </cellXfs>
  <cellStyles count="1">
    <cellStyle name="Normal" xfId="0" builtinId="0"/>
  </cellStyles>
  <dxfs count="0"/>
  <tableStyles count="0" defaultTableStyle="TableStyleMedium2" defaultPivotStyle="PivotStyleLight16"/>
  <colors>
    <mruColors>
      <color rgb="FFF07ECF"/>
      <color rgb="FF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8</xdr:col>
      <xdr:colOff>495300</xdr:colOff>
      <xdr:row>20</xdr:row>
      <xdr:rowOff>33739</xdr:rowOff>
    </xdr:from>
    <xdr:to>
      <xdr:col>12</xdr:col>
      <xdr:colOff>552451</xdr:colOff>
      <xdr:row>35</xdr:row>
      <xdr:rowOff>142713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72100" y="3272239"/>
          <a:ext cx="2495551" cy="25378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tabSelected="1" workbookViewId="0">
      <selection sqref="A1:M3"/>
    </sheetView>
  </sheetViews>
  <sheetFormatPr defaultRowHeight="12.75" x14ac:dyDescent="0.2"/>
  <sheetData>
    <row r="1" spans="1:13" x14ac:dyDescent="0.2">
      <c r="A1" s="132" t="s">
        <v>951</v>
      </c>
      <c r="B1" s="132"/>
      <c r="C1" s="132"/>
      <c r="D1" s="132"/>
      <c r="E1" s="132"/>
      <c r="F1" s="132"/>
      <c r="G1" s="132"/>
      <c r="H1" s="132"/>
      <c r="I1" s="132"/>
      <c r="J1" s="132"/>
      <c r="K1" s="132"/>
      <c r="L1" s="132"/>
      <c r="M1" s="132"/>
    </row>
    <row r="2" spans="1:13" x14ac:dyDescent="0.2">
      <c r="A2" s="132"/>
      <c r="B2" s="132"/>
      <c r="C2" s="132"/>
      <c r="D2" s="132"/>
      <c r="E2" s="132"/>
      <c r="F2" s="132"/>
      <c r="G2" s="132"/>
      <c r="H2" s="132"/>
      <c r="I2" s="132"/>
      <c r="J2" s="132"/>
      <c r="K2" s="132"/>
      <c r="L2" s="132"/>
      <c r="M2" s="132"/>
    </row>
    <row r="3" spans="1:13" x14ac:dyDescent="0.2">
      <c r="A3" s="132"/>
      <c r="B3" s="132"/>
      <c r="C3" s="132"/>
      <c r="D3" s="132"/>
      <c r="E3" s="132"/>
      <c r="F3" s="132"/>
      <c r="G3" s="132"/>
      <c r="H3" s="132"/>
      <c r="I3" s="132"/>
      <c r="J3" s="132"/>
      <c r="K3" s="132"/>
      <c r="L3" s="132"/>
      <c r="M3" s="132"/>
    </row>
    <row r="4" spans="1:13" ht="12.75" customHeight="1" x14ac:dyDescent="0.2">
      <c r="A4" s="129" t="s">
        <v>958</v>
      </c>
      <c r="B4" s="129"/>
      <c r="C4" s="129"/>
      <c r="D4" s="129"/>
      <c r="E4" s="129"/>
      <c r="F4" s="129"/>
      <c r="G4" s="129"/>
      <c r="H4" s="129"/>
      <c r="I4" s="129"/>
      <c r="J4" s="129"/>
      <c r="K4" s="129"/>
      <c r="L4" s="129"/>
      <c r="M4" s="129"/>
    </row>
    <row r="5" spans="1:13" x14ac:dyDescent="0.2">
      <c r="A5" s="129"/>
      <c r="B5" s="129"/>
      <c r="C5" s="129"/>
      <c r="D5" s="129"/>
      <c r="E5" s="129"/>
      <c r="F5" s="129"/>
      <c r="G5" s="129"/>
      <c r="H5" s="129"/>
      <c r="I5" s="129"/>
      <c r="J5" s="129"/>
      <c r="K5" s="129"/>
      <c r="L5" s="129"/>
      <c r="M5" s="129"/>
    </row>
    <row r="6" spans="1:13" x14ac:dyDescent="0.2">
      <c r="A6" s="129"/>
      <c r="B6" s="129"/>
      <c r="C6" s="129"/>
      <c r="D6" s="129"/>
      <c r="E6" s="129"/>
      <c r="F6" s="129"/>
      <c r="G6" s="129"/>
      <c r="H6" s="129"/>
      <c r="I6" s="129"/>
      <c r="J6" s="129"/>
      <c r="K6" s="129"/>
      <c r="L6" s="129"/>
      <c r="M6" s="129"/>
    </row>
    <row r="7" spans="1:13" x14ac:dyDescent="0.2">
      <c r="A7" s="130"/>
      <c r="B7" s="130"/>
      <c r="C7" s="130"/>
      <c r="D7" s="130"/>
      <c r="E7" s="130"/>
      <c r="F7" s="130"/>
      <c r="G7" s="130"/>
      <c r="H7" s="130"/>
      <c r="I7" s="130"/>
      <c r="J7" s="130"/>
      <c r="K7" s="130"/>
      <c r="L7" s="130"/>
      <c r="M7" s="130"/>
    </row>
    <row r="8" spans="1:13" ht="12.75" customHeight="1" x14ac:dyDescent="0.2">
      <c r="A8" s="129" t="s">
        <v>956</v>
      </c>
      <c r="B8" s="129"/>
      <c r="C8" s="129"/>
      <c r="D8" s="129"/>
      <c r="E8" s="129"/>
      <c r="F8" s="129"/>
      <c r="G8" s="129"/>
      <c r="H8" s="129"/>
      <c r="I8" s="129"/>
      <c r="J8" s="129"/>
      <c r="K8" s="129"/>
      <c r="L8" s="129"/>
      <c r="M8" s="129"/>
    </row>
    <row r="9" spans="1:13" x14ac:dyDescent="0.2">
      <c r="A9" s="129"/>
      <c r="B9" s="129"/>
      <c r="C9" s="129"/>
      <c r="D9" s="129"/>
      <c r="E9" s="129"/>
      <c r="F9" s="129"/>
      <c r="G9" s="129"/>
      <c r="H9" s="129"/>
      <c r="I9" s="129"/>
      <c r="J9" s="129"/>
      <c r="K9" s="129"/>
      <c r="L9" s="129"/>
      <c r="M9" s="129"/>
    </row>
    <row r="10" spans="1:13" x14ac:dyDescent="0.2">
      <c r="A10" s="129"/>
      <c r="B10" s="129"/>
      <c r="C10" s="129"/>
      <c r="D10" s="129"/>
      <c r="E10" s="129"/>
      <c r="F10" s="129"/>
      <c r="G10" s="129"/>
      <c r="H10" s="129"/>
      <c r="I10" s="129"/>
      <c r="J10" s="129"/>
      <c r="K10" s="129"/>
      <c r="L10" s="129"/>
      <c r="M10" s="129"/>
    </row>
    <row r="11" spans="1:13" x14ac:dyDescent="0.2">
      <c r="A11" s="130"/>
      <c r="B11" s="130"/>
      <c r="C11" s="130"/>
      <c r="D11" s="130"/>
      <c r="E11" s="130"/>
      <c r="F11" s="130"/>
      <c r="G11" s="130"/>
      <c r="H11" s="130"/>
      <c r="I11" s="130"/>
      <c r="J11" s="130"/>
      <c r="K11" s="130"/>
      <c r="L11" s="130"/>
      <c r="M11" s="130"/>
    </row>
    <row r="12" spans="1:13" ht="12.75" customHeight="1" x14ac:dyDescent="0.2">
      <c r="A12" s="129" t="s">
        <v>957</v>
      </c>
      <c r="B12" s="129"/>
      <c r="C12" s="129"/>
      <c r="D12" s="129"/>
      <c r="E12" s="129"/>
      <c r="F12" s="129"/>
      <c r="G12" s="129"/>
      <c r="H12" s="129"/>
      <c r="I12" s="129"/>
      <c r="J12" s="129"/>
      <c r="K12" s="129"/>
      <c r="L12" s="129"/>
      <c r="M12" s="129"/>
    </row>
    <row r="13" spans="1:13" x14ac:dyDescent="0.2">
      <c r="A13" s="129"/>
      <c r="B13" s="129"/>
      <c r="C13" s="129"/>
      <c r="D13" s="129"/>
      <c r="E13" s="129"/>
      <c r="F13" s="129"/>
      <c r="G13" s="129"/>
      <c r="H13" s="129"/>
      <c r="I13" s="129"/>
      <c r="J13" s="129"/>
      <c r="K13" s="129"/>
      <c r="L13" s="129"/>
      <c r="M13" s="129"/>
    </row>
    <row r="14" spans="1:13" ht="12.75" customHeight="1" x14ac:dyDescent="0.2">
      <c r="A14" s="129" t="s">
        <v>954</v>
      </c>
      <c r="B14" s="129"/>
      <c r="C14" s="129"/>
      <c r="D14" s="129"/>
      <c r="E14" s="129"/>
      <c r="F14" s="129"/>
      <c r="G14" s="129"/>
      <c r="H14" s="129"/>
      <c r="I14" s="129"/>
      <c r="J14" s="129"/>
      <c r="K14" s="129"/>
      <c r="L14" s="129"/>
      <c r="M14" s="129"/>
    </row>
    <row r="15" spans="1:13" x14ac:dyDescent="0.2">
      <c r="A15" s="129"/>
      <c r="B15" s="129"/>
      <c r="C15" s="129"/>
      <c r="D15" s="129"/>
      <c r="E15" s="129"/>
      <c r="F15" s="129"/>
      <c r="G15" s="129"/>
      <c r="H15" s="129"/>
      <c r="I15" s="129"/>
      <c r="J15" s="129"/>
      <c r="K15" s="129"/>
      <c r="L15" s="129"/>
      <c r="M15" s="129"/>
    </row>
    <row r="16" spans="1:13" x14ac:dyDescent="0.2">
      <c r="A16" s="129"/>
      <c r="B16" s="129"/>
      <c r="C16" s="129"/>
      <c r="D16" s="129"/>
      <c r="E16" s="129"/>
      <c r="F16" s="129"/>
      <c r="G16" s="129"/>
      <c r="H16" s="129"/>
      <c r="I16" s="129"/>
      <c r="J16" s="129"/>
      <c r="K16" s="129"/>
      <c r="L16" s="129"/>
      <c r="M16" s="129"/>
    </row>
    <row r="17" spans="1:13" x14ac:dyDescent="0.2">
      <c r="A17" s="130"/>
      <c r="B17" s="130"/>
      <c r="C17" s="130"/>
      <c r="D17" s="130"/>
      <c r="E17" s="130"/>
      <c r="F17" s="130"/>
      <c r="G17" s="130"/>
      <c r="H17" s="130"/>
      <c r="I17" s="130"/>
      <c r="J17" s="130"/>
      <c r="K17" s="130"/>
      <c r="L17" s="130"/>
      <c r="M17" s="130"/>
    </row>
    <row r="18" spans="1:13" x14ac:dyDescent="0.2">
      <c r="A18" s="129" t="s">
        <v>955</v>
      </c>
      <c r="B18" s="129"/>
      <c r="C18" s="129"/>
      <c r="D18" s="129"/>
      <c r="E18" s="129"/>
      <c r="F18" s="129"/>
      <c r="G18" s="129"/>
      <c r="H18" s="129"/>
      <c r="I18" s="129"/>
      <c r="J18" s="129"/>
      <c r="K18" s="129"/>
      <c r="L18" s="129"/>
      <c r="M18" s="129"/>
    </row>
    <row r="19" spans="1:13" x14ac:dyDescent="0.2">
      <c r="A19" s="129"/>
      <c r="B19" s="129"/>
      <c r="C19" s="129"/>
      <c r="D19" s="129"/>
      <c r="E19" s="129"/>
      <c r="F19" s="129"/>
      <c r="G19" s="129"/>
      <c r="H19" s="129"/>
      <c r="I19" s="129"/>
      <c r="J19" s="129"/>
      <c r="K19" s="129"/>
      <c r="L19" s="129"/>
      <c r="M19" s="129"/>
    </row>
    <row r="20" spans="1:13" x14ac:dyDescent="0.2">
      <c r="A20" s="129"/>
      <c r="B20" s="129"/>
      <c r="C20" s="129"/>
      <c r="D20" s="129"/>
      <c r="E20" s="129"/>
      <c r="F20" s="129"/>
      <c r="G20" s="129"/>
      <c r="H20" s="129"/>
      <c r="I20" s="129"/>
      <c r="J20" s="129"/>
      <c r="K20" s="129"/>
      <c r="L20" s="129"/>
      <c r="M20" s="129"/>
    </row>
    <row r="21" spans="1:13" x14ac:dyDescent="0.2">
      <c r="A21" s="128"/>
      <c r="B21" s="128"/>
      <c r="C21" s="128"/>
      <c r="D21" s="128"/>
      <c r="E21" s="128"/>
      <c r="F21" s="128"/>
      <c r="G21" s="128"/>
      <c r="H21" s="128"/>
      <c r="I21" s="128"/>
      <c r="J21" s="128"/>
      <c r="K21" s="128"/>
      <c r="L21" s="128"/>
      <c r="M21" s="128"/>
    </row>
    <row r="22" spans="1:13" x14ac:dyDescent="0.2">
      <c r="A22" s="128"/>
      <c r="B22" s="128"/>
      <c r="C22" s="128"/>
      <c r="D22" s="128"/>
      <c r="E22" s="128"/>
      <c r="F22" s="128"/>
      <c r="G22" s="128"/>
      <c r="H22" s="128"/>
      <c r="I22" s="128"/>
      <c r="J22" s="128"/>
      <c r="K22" s="128"/>
      <c r="L22" s="128"/>
      <c r="M22" s="128"/>
    </row>
    <row r="23" spans="1:13" x14ac:dyDescent="0.2">
      <c r="A23" s="128"/>
      <c r="B23" s="128"/>
      <c r="C23" s="128"/>
      <c r="D23" s="128"/>
      <c r="E23" s="128"/>
      <c r="F23" s="128"/>
      <c r="G23" s="128"/>
      <c r="H23" s="128"/>
      <c r="I23" s="128"/>
      <c r="J23" s="128"/>
      <c r="K23" s="128"/>
      <c r="L23" s="128"/>
      <c r="M23" s="128"/>
    </row>
    <row r="24" spans="1:13" x14ac:dyDescent="0.2">
      <c r="A24" s="128"/>
      <c r="B24" s="128"/>
      <c r="C24" s="128"/>
      <c r="D24" s="128"/>
      <c r="E24" s="128"/>
      <c r="F24" s="128"/>
      <c r="G24" s="128"/>
      <c r="H24" s="128"/>
      <c r="I24" s="128"/>
      <c r="J24" s="128"/>
      <c r="K24" s="128"/>
      <c r="L24" s="128"/>
      <c r="M24" s="128"/>
    </row>
    <row r="25" spans="1:13" x14ac:dyDescent="0.2">
      <c r="A25" s="128"/>
      <c r="B25" s="128"/>
      <c r="C25" s="128"/>
      <c r="D25" s="128"/>
      <c r="E25" s="128"/>
      <c r="F25" s="128"/>
      <c r="G25" s="128"/>
      <c r="H25" s="128"/>
      <c r="I25" s="128"/>
      <c r="J25" s="128"/>
      <c r="K25" s="128"/>
      <c r="L25" s="128"/>
      <c r="M25" s="128"/>
    </row>
    <row r="26" spans="1:13" x14ac:dyDescent="0.2">
      <c r="A26" s="137" t="s">
        <v>948</v>
      </c>
      <c r="B26" s="137"/>
      <c r="C26" s="137"/>
      <c r="D26" s="137"/>
      <c r="E26" s="137"/>
      <c r="F26" s="137"/>
      <c r="G26" s="137"/>
      <c r="H26" s="128"/>
      <c r="I26" s="128"/>
      <c r="J26" s="128"/>
      <c r="K26" s="128"/>
      <c r="L26" s="128"/>
      <c r="M26" s="128"/>
    </row>
    <row r="27" spans="1:13" x14ac:dyDescent="0.2">
      <c r="A27" s="138" t="s">
        <v>947</v>
      </c>
      <c r="B27" s="138"/>
      <c r="C27" s="138"/>
      <c r="D27" s="138"/>
      <c r="E27" s="138"/>
      <c r="F27" s="138"/>
      <c r="G27" s="138"/>
      <c r="H27" s="128"/>
      <c r="I27" s="128"/>
      <c r="J27" s="128"/>
      <c r="K27" s="128"/>
      <c r="L27" s="128"/>
      <c r="M27" s="128"/>
    </row>
    <row r="28" spans="1:13" x14ac:dyDescent="0.2">
      <c r="A28" s="136" t="s">
        <v>949</v>
      </c>
      <c r="B28" s="136"/>
      <c r="C28" s="136"/>
      <c r="D28" s="136"/>
      <c r="E28" s="136"/>
      <c r="F28" s="136"/>
      <c r="G28" s="136"/>
      <c r="H28" s="128"/>
      <c r="I28" s="128"/>
      <c r="J28" s="128"/>
      <c r="K28" s="128"/>
      <c r="L28" s="128"/>
      <c r="M28" s="128"/>
    </row>
    <row r="29" spans="1:13" x14ac:dyDescent="0.2">
      <c r="A29" s="136" t="s">
        <v>950</v>
      </c>
      <c r="B29" s="136"/>
      <c r="C29" s="136"/>
      <c r="D29" s="136"/>
      <c r="E29" s="136"/>
      <c r="F29" s="136"/>
      <c r="G29" s="136"/>
      <c r="H29" s="136"/>
      <c r="I29" s="136"/>
      <c r="J29" s="136"/>
      <c r="K29" s="136"/>
      <c r="L29" s="136"/>
      <c r="M29" s="136"/>
    </row>
    <row r="30" spans="1:13" x14ac:dyDescent="0.2">
      <c r="A30" s="136"/>
      <c r="B30" s="136"/>
      <c r="C30" s="136"/>
      <c r="D30" s="136"/>
      <c r="E30" s="136"/>
      <c r="F30" s="136"/>
      <c r="G30" s="136"/>
      <c r="H30" s="136"/>
      <c r="I30" s="136"/>
      <c r="J30" s="136"/>
      <c r="K30" s="136"/>
      <c r="L30" s="136"/>
      <c r="M30" s="136"/>
    </row>
    <row r="31" spans="1:13" x14ac:dyDescent="0.2">
      <c r="A31" s="136"/>
      <c r="B31" s="136"/>
      <c r="C31" s="136"/>
      <c r="D31" s="136"/>
      <c r="E31" s="136"/>
      <c r="F31" s="136"/>
      <c r="G31" s="136"/>
      <c r="H31" s="136"/>
      <c r="I31" s="136"/>
      <c r="J31" s="136"/>
      <c r="K31" s="136"/>
      <c r="L31" s="136"/>
      <c r="M31" s="136"/>
    </row>
    <row r="32" spans="1:13" x14ac:dyDescent="0.2">
      <c r="A32" s="136"/>
      <c r="B32" s="136"/>
      <c r="C32" s="136"/>
      <c r="D32" s="136"/>
      <c r="E32" s="136"/>
      <c r="F32" s="136"/>
      <c r="G32" s="136"/>
      <c r="H32" s="136"/>
      <c r="I32" s="136"/>
      <c r="J32" s="136"/>
      <c r="K32" s="136"/>
      <c r="L32" s="136"/>
      <c r="M32" s="136"/>
    </row>
    <row r="33" spans="1:13" x14ac:dyDescent="0.2">
      <c r="A33" s="136"/>
      <c r="B33" s="136"/>
      <c r="C33" s="136"/>
      <c r="D33" s="136"/>
      <c r="E33" s="136"/>
      <c r="F33" s="136"/>
      <c r="G33" s="136"/>
      <c r="H33" s="136"/>
      <c r="I33" s="136"/>
      <c r="J33" s="136"/>
      <c r="K33" s="136"/>
      <c r="L33" s="136"/>
      <c r="M33" s="136"/>
    </row>
    <row r="34" spans="1:13" x14ac:dyDescent="0.2">
      <c r="A34" s="136"/>
      <c r="B34" s="136"/>
      <c r="C34" s="136"/>
      <c r="D34" s="136"/>
      <c r="E34" s="136"/>
      <c r="F34" s="136"/>
      <c r="G34" s="136"/>
      <c r="H34" s="136"/>
      <c r="I34" s="136"/>
      <c r="J34" s="136"/>
      <c r="K34" s="136"/>
      <c r="L34" s="136"/>
      <c r="M34" s="136"/>
    </row>
    <row r="35" spans="1:13" x14ac:dyDescent="0.2">
      <c r="A35" s="136"/>
      <c r="B35" s="136"/>
      <c r="C35" s="136"/>
      <c r="D35" s="136"/>
      <c r="E35" s="136"/>
      <c r="F35" s="136"/>
      <c r="G35" s="136"/>
      <c r="H35" s="136"/>
      <c r="I35" s="136"/>
      <c r="J35" s="136"/>
      <c r="K35" s="136"/>
      <c r="L35" s="136"/>
      <c r="M35" s="136"/>
    </row>
    <row r="36" spans="1:13" x14ac:dyDescent="0.2">
      <c r="A36" s="136"/>
      <c r="B36" s="136"/>
      <c r="C36" s="136"/>
      <c r="D36" s="136"/>
      <c r="E36" s="136"/>
      <c r="F36" s="136"/>
      <c r="G36" s="136"/>
      <c r="H36" s="136"/>
      <c r="I36" s="136"/>
      <c r="J36" s="136"/>
      <c r="K36" s="136"/>
      <c r="L36" s="136"/>
      <c r="M36" s="136"/>
    </row>
  </sheetData>
  <mergeCells count="15">
    <mergeCell ref="A7:M7"/>
    <mergeCell ref="A29:M36"/>
    <mergeCell ref="A14:M16"/>
    <mergeCell ref="A21:M25"/>
    <mergeCell ref="A17:M17"/>
    <mergeCell ref="A11:M11"/>
    <mergeCell ref="H26:M28"/>
    <mergeCell ref="A26:G26"/>
    <mergeCell ref="A27:G27"/>
    <mergeCell ref="A28:G28"/>
    <mergeCell ref="A4:M6"/>
    <mergeCell ref="A12:M13"/>
    <mergeCell ref="A18:M20"/>
    <mergeCell ref="A8:M10"/>
    <mergeCell ref="A1:M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72"/>
  <sheetViews>
    <sheetView workbookViewId="0">
      <selection activeCell="B1" sqref="B1"/>
    </sheetView>
  </sheetViews>
  <sheetFormatPr defaultRowHeight="12.75" x14ac:dyDescent="0.2"/>
  <cols>
    <col min="1" max="1" width="53" customWidth="1"/>
    <col min="2" max="2" width="57.5703125" customWidth="1"/>
    <col min="3" max="3" width="31.5703125" customWidth="1"/>
    <col min="4" max="4" width="23" customWidth="1"/>
    <col min="5" max="5" width="21.140625" customWidth="1"/>
    <col min="8" max="8" width="30.28515625" customWidth="1"/>
    <col min="9" max="10" width="32.85546875" customWidth="1"/>
    <col min="11" max="11" width="24" customWidth="1"/>
    <col min="13" max="13" width="12.140625" customWidth="1"/>
    <col min="14" max="14" width="11" customWidth="1"/>
    <col min="15" max="15" width="55.28515625" customWidth="1"/>
    <col min="25" max="25" width="13.42578125" customWidth="1"/>
    <col min="28" max="28" width="11.85546875" customWidth="1"/>
    <col min="29" max="29" width="15.5703125" customWidth="1"/>
    <col min="30" max="30" width="30" customWidth="1"/>
    <col min="35" max="35" width="10.85546875" customWidth="1"/>
    <col min="44" max="44" width="11.28515625" customWidth="1"/>
  </cols>
  <sheetData>
    <row r="1" spans="1:52" x14ac:dyDescent="0.2">
      <c r="A1" s="121" t="s">
        <v>408</v>
      </c>
      <c r="B1" s="1"/>
      <c r="C1" s="121" t="s">
        <v>407</v>
      </c>
      <c r="D1" s="1"/>
      <c r="E1" s="6"/>
      <c r="F1" s="6"/>
      <c r="G1" s="6"/>
      <c r="K1" s="56" t="s">
        <v>406</v>
      </c>
      <c r="L1" s="53"/>
      <c r="M1" s="53"/>
      <c r="N1" s="55"/>
      <c r="O1" s="54" t="s">
        <v>405</v>
      </c>
      <c r="P1" s="53"/>
      <c r="Q1" s="53"/>
      <c r="R1" s="53"/>
      <c r="S1" s="53"/>
      <c r="T1" s="53"/>
      <c r="U1" s="53"/>
      <c r="V1" s="52"/>
      <c r="W1" s="26" t="s">
        <v>404</v>
      </c>
      <c r="Z1" s="13" t="s">
        <v>0</v>
      </c>
      <c r="AA1" s="103" t="s">
        <v>822</v>
      </c>
      <c r="AE1" s="26" t="s">
        <v>404</v>
      </c>
      <c r="AH1" s="13" t="s">
        <v>0</v>
      </c>
      <c r="AJ1" s="26" t="s">
        <v>403</v>
      </c>
      <c r="AQ1" s="103" t="s">
        <v>822</v>
      </c>
      <c r="AW1" s="103" t="s">
        <v>843</v>
      </c>
    </row>
    <row r="2" spans="1:52" x14ac:dyDescent="0.2">
      <c r="A2" s="121" t="s">
        <v>154</v>
      </c>
      <c r="B2" s="11" t="s">
        <v>953</v>
      </c>
      <c r="C2" s="121"/>
      <c r="D2" s="37"/>
      <c r="E2" s="6"/>
      <c r="F2" s="6"/>
      <c r="G2" s="6"/>
      <c r="K2" s="51" t="s">
        <v>395</v>
      </c>
      <c r="L2" s="45" t="s">
        <v>387</v>
      </c>
      <c r="M2" s="45" t="s">
        <v>379</v>
      </c>
      <c r="N2" s="51" t="s">
        <v>113</v>
      </c>
      <c r="O2" s="41" t="s">
        <v>154</v>
      </c>
      <c r="P2" s="41" t="s">
        <v>47</v>
      </c>
      <c r="Q2" s="41" t="s">
        <v>337</v>
      </c>
      <c r="R2" s="41" t="s">
        <v>139</v>
      </c>
      <c r="S2" s="41" t="s">
        <v>296</v>
      </c>
      <c r="T2" s="41"/>
      <c r="U2" s="45"/>
      <c r="V2" s="44"/>
      <c r="W2" s="13" t="s">
        <v>401</v>
      </c>
      <c r="X2" s="13" t="s">
        <v>400</v>
      </c>
      <c r="Y2" s="13" t="s">
        <v>399</v>
      </c>
      <c r="Z2" s="13"/>
      <c r="AA2" s="84" t="s">
        <v>401</v>
      </c>
      <c r="AB2" s="84" t="s">
        <v>823</v>
      </c>
      <c r="AE2" s="13" t="s">
        <v>401</v>
      </c>
      <c r="AF2" s="13" t="s">
        <v>400</v>
      </c>
      <c r="AG2" s="13" t="s">
        <v>399</v>
      </c>
      <c r="AH2" s="13"/>
      <c r="AJ2" s="13" t="s">
        <v>85</v>
      </c>
      <c r="AK2" s="34" t="s">
        <v>47</v>
      </c>
      <c r="AL2" s="13" t="s">
        <v>74</v>
      </c>
      <c r="AM2" s="13" t="s">
        <v>336</v>
      </c>
      <c r="AO2" s="36" t="s">
        <v>65</v>
      </c>
      <c r="AP2" s="13" t="s">
        <v>296</v>
      </c>
      <c r="AQ2" s="13" t="s">
        <v>401</v>
      </c>
      <c r="AR2" s="13" t="s">
        <v>400</v>
      </c>
      <c r="AS2" s="13"/>
      <c r="AW2" t="s">
        <v>844</v>
      </c>
      <c r="AX2" t="s">
        <v>400</v>
      </c>
      <c r="AY2" t="s">
        <v>399</v>
      </c>
      <c r="AZ2" t="s">
        <v>845</v>
      </c>
    </row>
    <row r="3" spans="1:52" x14ac:dyDescent="0.2">
      <c r="A3" s="121"/>
      <c r="B3" s="6"/>
      <c r="C3" s="121"/>
      <c r="D3" s="37"/>
      <c r="E3" s="6"/>
      <c r="F3" s="6"/>
      <c r="G3" s="6"/>
      <c r="K3" s="51"/>
      <c r="L3" s="45"/>
      <c r="M3" s="45"/>
      <c r="N3" s="51"/>
      <c r="O3" s="45" t="s">
        <v>10</v>
      </c>
      <c r="P3" s="48">
        <v>0</v>
      </c>
      <c r="Q3" s="48">
        <v>0</v>
      </c>
      <c r="R3" s="48">
        <v>0</v>
      </c>
      <c r="S3" s="42" t="s">
        <v>113</v>
      </c>
      <c r="T3" s="45" t="s">
        <v>113</v>
      </c>
      <c r="U3" s="45"/>
      <c r="V3" s="44"/>
      <c r="W3" s="13"/>
      <c r="X3" s="13"/>
      <c r="Y3" s="13"/>
      <c r="Z3" s="13"/>
      <c r="AA3" s="16" t="s">
        <v>824</v>
      </c>
      <c r="AB3" t="s">
        <v>827</v>
      </c>
      <c r="AE3" s="4">
        <v>0</v>
      </c>
      <c r="AF3" s="13" t="s">
        <v>113</v>
      </c>
      <c r="AG3" s="13" t="s">
        <v>113</v>
      </c>
      <c r="AH3" s="13" t="s">
        <v>113</v>
      </c>
      <c r="AJ3" s="34" t="s">
        <v>572</v>
      </c>
      <c r="AK3" s="34"/>
      <c r="AL3" s="13"/>
      <c r="AM3" s="13"/>
      <c r="AO3" s="36"/>
      <c r="AP3" s="13"/>
      <c r="AQ3" s="4">
        <v>0</v>
      </c>
      <c r="AR3" s="13" t="s">
        <v>113</v>
      </c>
      <c r="AS3" s="13" t="s">
        <v>113</v>
      </c>
      <c r="AW3" s="1">
        <v>0</v>
      </c>
      <c r="AX3" t="s">
        <v>113</v>
      </c>
      <c r="AY3" t="s">
        <v>113</v>
      </c>
      <c r="AZ3" t="s">
        <v>113</v>
      </c>
    </row>
    <row r="4" spans="1:52" x14ac:dyDescent="0.2">
      <c r="A4" s="121" t="s">
        <v>398</v>
      </c>
      <c r="B4" s="11" t="s">
        <v>264</v>
      </c>
      <c r="C4" s="121"/>
      <c r="D4" s="37"/>
      <c r="E4" s="6"/>
      <c r="F4" s="6"/>
      <c r="G4" s="6"/>
      <c r="K4" s="46">
        <v>1</v>
      </c>
      <c r="L4" s="48">
        <v>17</v>
      </c>
      <c r="M4" s="48">
        <v>5</v>
      </c>
      <c r="N4" s="46"/>
      <c r="O4" s="73" t="s">
        <v>725</v>
      </c>
      <c r="P4" s="70"/>
      <c r="Q4" s="71"/>
      <c r="R4" s="71"/>
      <c r="S4" s="70" t="s">
        <v>113</v>
      </c>
      <c r="T4" s="72"/>
      <c r="U4" s="45"/>
      <c r="V4" s="44"/>
      <c r="W4" s="34" t="s">
        <v>397</v>
      </c>
      <c r="X4" s="4" t="s">
        <v>382</v>
      </c>
      <c r="Y4" s="4" t="s">
        <v>381</v>
      </c>
      <c r="Z4" s="4" t="s">
        <v>53</v>
      </c>
      <c r="AA4" s="16" t="s">
        <v>389</v>
      </c>
      <c r="AB4" s="38" t="s">
        <v>828</v>
      </c>
      <c r="AE4" s="50">
        <v>1</v>
      </c>
      <c r="AF4" s="4" t="s">
        <v>382</v>
      </c>
      <c r="AG4" s="4" t="s">
        <v>381</v>
      </c>
      <c r="AH4" s="4" t="s">
        <v>53</v>
      </c>
      <c r="AI4" s="13" t="s">
        <v>235</v>
      </c>
      <c r="AJ4" s="34" t="s">
        <v>784</v>
      </c>
      <c r="AK4" s="1">
        <f t="shared" ref="AK4:AK9" si="0">IF($B$2="Explorer",1,IF($B$4="Battleship",1,IF($B$4="Dreadnought",1,2)))</f>
        <v>1</v>
      </c>
      <c r="AL4" s="1">
        <v>11</v>
      </c>
      <c r="AM4" s="1">
        <v>0</v>
      </c>
      <c r="AN4" s="1">
        <v>1</v>
      </c>
      <c r="AO4" s="4" t="s">
        <v>184</v>
      </c>
      <c r="AP4" s="13" t="s">
        <v>113</v>
      </c>
      <c r="AQ4" s="50">
        <v>1</v>
      </c>
      <c r="AR4" s="86" t="s">
        <v>827</v>
      </c>
      <c r="AS4" s="4" t="s">
        <v>53</v>
      </c>
      <c r="AW4" s="1">
        <v>1</v>
      </c>
      <c r="AX4" s="1" t="s">
        <v>846</v>
      </c>
      <c r="AY4" t="s">
        <v>863</v>
      </c>
      <c r="AZ4" t="s">
        <v>53</v>
      </c>
    </row>
    <row r="5" spans="1:52" ht="12.75" customHeight="1" x14ac:dyDescent="0.2">
      <c r="A5" s="121" t="s">
        <v>395</v>
      </c>
      <c r="B5" s="11">
        <v>1</v>
      </c>
      <c r="C5" s="121" t="s">
        <v>139</v>
      </c>
      <c r="D5" s="114">
        <f>VLOOKUP($B$4,$R$43:$V$92,3,FALSE)</f>
        <v>7</v>
      </c>
      <c r="E5" s="121" t="s">
        <v>299</v>
      </c>
      <c r="F5" s="114" t="str">
        <f>VLOOKUP($B$4,$R$43:$V$92,4,FALSE)</f>
        <v>10+</v>
      </c>
      <c r="G5" s="6"/>
      <c r="K5" s="46">
        <v>2</v>
      </c>
      <c r="L5" s="48">
        <v>29</v>
      </c>
      <c r="M5" s="48">
        <v>10</v>
      </c>
      <c r="N5" s="46"/>
      <c r="O5" s="74" t="s">
        <v>734</v>
      </c>
      <c r="P5" s="42">
        <v>1</v>
      </c>
      <c r="Q5" s="48">
        <v>1</v>
      </c>
      <c r="R5" s="48">
        <v>0</v>
      </c>
      <c r="S5" s="42" t="s">
        <v>113</v>
      </c>
      <c r="T5" s="41" t="s">
        <v>343</v>
      </c>
      <c r="U5" s="45"/>
      <c r="V5" s="44"/>
      <c r="W5" s="34" t="s">
        <v>392</v>
      </c>
      <c r="X5" s="4" t="s">
        <v>360</v>
      </c>
      <c r="Y5" s="4" t="s">
        <v>359</v>
      </c>
      <c r="Z5" s="4" t="s">
        <v>53</v>
      </c>
      <c r="AA5" s="85" t="s">
        <v>383</v>
      </c>
      <c r="AB5" s="38" t="s">
        <v>829</v>
      </c>
      <c r="AE5" s="1">
        <v>2</v>
      </c>
      <c r="AF5" s="4" t="s">
        <v>382</v>
      </c>
      <c r="AG5" s="4" t="s">
        <v>381</v>
      </c>
      <c r="AH5" s="4" t="s">
        <v>53</v>
      </c>
      <c r="AI5" s="13" t="s">
        <v>57</v>
      </c>
      <c r="AJ5" s="34" t="s">
        <v>767</v>
      </c>
      <c r="AK5" s="1">
        <f t="shared" si="0"/>
        <v>1</v>
      </c>
      <c r="AL5" s="1">
        <v>12</v>
      </c>
      <c r="AM5" s="30" t="s">
        <v>174</v>
      </c>
      <c r="AN5" s="1">
        <v>1</v>
      </c>
      <c r="AO5" s="4" t="s">
        <v>39</v>
      </c>
      <c r="AP5" s="13" t="s">
        <v>113</v>
      </c>
      <c r="AQ5" s="1">
        <v>2</v>
      </c>
      <c r="AR5" s="86" t="s">
        <v>827</v>
      </c>
      <c r="AS5" s="4" t="s">
        <v>53</v>
      </c>
      <c r="AW5" s="1">
        <v>2</v>
      </c>
      <c r="AX5" s="1" t="s">
        <v>847</v>
      </c>
      <c r="AY5" t="s">
        <v>863</v>
      </c>
      <c r="AZ5" t="s">
        <v>53</v>
      </c>
    </row>
    <row r="6" spans="1:52" x14ac:dyDescent="0.2">
      <c r="A6" s="121"/>
      <c r="B6" s="15"/>
      <c r="C6" s="121"/>
      <c r="D6" s="15"/>
      <c r="E6" s="121"/>
      <c r="F6" s="15"/>
      <c r="G6" s="6"/>
      <c r="K6" s="46">
        <v>3</v>
      </c>
      <c r="L6" s="48">
        <v>41</v>
      </c>
      <c r="M6" s="48">
        <v>15</v>
      </c>
      <c r="N6" s="46"/>
      <c r="O6" s="73" t="s">
        <v>726</v>
      </c>
      <c r="P6" s="70"/>
      <c r="Q6" s="70"/>
      <c r="R6" s="70"/>
      <c r="S6" s="70" t="s">
        <v>113</v>
      </c>
      <c r="T6" s="72"/>
      <c r="U6" s="45"/>
      <c r="V6" s="44"/>
      <c r="W6" s="34" t="s">
        <v>389</v>
      </c>
      <c r="X6" s="4" t="s">
        <v>335</v>
      </c>
      <c r="Y6" s="4" t="s">
        <v>334</v>
      </c>
      <c r="Z6" s="4" t="s">
        <v>39</v>
      </c>
      <c r="AA6" s="85" t="s">
        <v>375</v>
      </c>
      <c r="AB6" s="38" t="s">
        <v>830</v>
      </c>
      <c r="AE6" s="1">
        <v>3</v>
      </c>
      <c r="AF6" s="4" t="s">
        <v>382</v>
      </c>
      <c r="AG6" s="4" t="s">
        <v>381</v>
      </c>
      <c r="AH6" s="4" t="s">
        <v>53</v>
      </c>
      <c r="AI6" s="13" t="s">
        <v>57</v>
      </c>
      <c r="AJ6" s="34" t="s">
        <v>768</v>
      </c>
      <c r="AK6" s="1">
        <f t="shared" si="0"/>
        <v>1</v>
      </c>
      <c r="AL6" s="1">
        <v>12</v>
      </c>
      <c r="AM6" s="30" t="s">
        <v>174</v>
      </c>
      <c r="AN6" s="1">
        <v>1</v>
      </c>
      <c r="AO6" s="4" t="s">
        <v>179</v>
      </c>
      <c r="AP6" s="13" t="s">
        <v>113</v>
      </c>
      <c r="AQ6" s="1">
        <v>3</v>
      </c>
      <c r="AR6" s="86" t="s">
        <v>827</v>
      </c>
      <c r="AS6" s="4" t="s">
        <v>53</v>
      </c>
      <c r="AW6" s="1">
        <v>3</v>
      </c>
      <c r="AX6" s="1" t="s">
        <v>848</v>
      </c>
      <c r="AY6" t="s">
        <v>863</v>
      </c>
      <c r="AZ6" t="s">
        <v>53</v>
      </c>
    </row>
    <row r="7" spans="1:52" x14ac:dyDescent="0.2">
      <c r="A7" s="121" t="s">
        <v>387</v>
      </c>
      <c r="B7" s="114">
        <f>($F$7-$D$8-$B$19-$B$25-$B$31-$B$39-$B$47-$B$55-$B$67-$B$82-$B$92-$B$106-$B$119-$D$126-$D$127-$B$131-$B$135-$B$139-$B$142-B149+$D$7)</f>
        <v>15</v>
      </c>
      <c r="C7" s="121" t="s">
        <v>386</v>
      </c>
      <c r="D7" s="81">
        <v>0</v>
      </c>
      <c r="E7" s="121" t="s">
        <v>385</v>
      </c>
      <c r="F7" s="114">
        <f>VLOOKUP($B$5,$K$4:$M$13,2)</f>
        <v>17</v>
      </c>
      <c r="G7" s="6"/>
      <c r="K7" s="46">
        <v>4</v>
      </c>
      <c r="L7" s="48">
        <v>53</v>
      </c>
      <c r="M7" s="48">
        <v>20</v>
      </c>
      <c r="N7" s="46"/>
      <c r="O7" s="74" t="s">
        <v>733</v>
      </c>
      <c r="P7" s="42">
        <v>1</v>
      </c>
      <c r="Q7" s="48">
        <v>2</v>
      </c>
      <c r="R7" s="48">
        <v>2</v>
      </c>
      <c r="S7" s="42" t="s">
        <v>113</v>
      </c>
      <c r="T7" s="41" t="s">
        <v>343</v>
      </c>
      <c r="U7" s="45"/>
      <c r="V7" s="44"/>
      <c r="W7" s="34" t="s">
        <v>383</v>
      </c>
      <c r="X7" s="4" t="s">
        <v>312</v>
      </c>
      <c r="Y7" s="4" t="s">
        <v>311</v>
      </c>
      <c r="Z7" s="4" t="s">
        <v>39</v>
      </c>
      <c r="AA7" s="85" t="s">
        <v>369</v>
      </c>
      <c r="AB7" s="38" t="s">
        <v>831</v>
      </c>
      <c r="AE7" s="1">
        <v>4</v>
      </c>
      <c r="AF7" s="4" t="s">
        <v>382</v>
      </c>
      <c r="AG7" s="4" t="s">
        <v>381</v>
      </c>
      <c r="AH7" s="4" t="s">
        <v>53</v>
      </c>
      <c r="AI7" s="13" t="s">
        <v>57</v>
      </c>
      <c r="AJ7" s="34" t="s">
        <v>769</v>
      </c>
      <c r="AK7" s="1">
        <f t="shared" si="0"/>
        <v>1</v>
      </c>
      <c r="AL7" s="1">
        <v>12</v>
      </c>
      <c r="AM7" s="30" t="s">
        <v>174</v>
      </c>
      <c r="AN7" s="1">
        <v>1</v>
      </c>
      <c r="AO7" s="4" t="s">
        <v>20</v>
      </c>
      <c r="AP7" s="13" t="s">
        <v>113</v>
      </c>
      <c r="AQ7" s="1">
        <v>4</v>
      </c>
      <c r="AR7" s="86" t="s">
        <v>827</v>
      </c>
      <c r="AS7" s="4" t="s">
        <v>53</v>
      </c>
      <c r="AW7" s="1">
        <v>4</v>
      </c>
      <c r="AX7" s="1" t="s">
        <v>849</v>
      </c>
      <c r="AY7" t="s">
        <v>863</v>
      </c>
      <c r="AZ7" t="s">
        <v>53</v>
      </c>
    </row>
    <row r="8" spans="1:52" x14ac:dyDescent="0.2">
      <c r="A8" s="121" t="s">
        <v>379</v>
      </c>
      <c r="B8" s="114">
        <f>F8+D8-D7</f>
        <v>5</v>
      </c>
      <c r="C8" s="121" t="s">
        <v>378</v>
      </c>
      <c r="D8" s="81">
        <v>0</v>
      </c>
      <c r="E8" s="121" t="s">
        <v>377</v>
      </c>
      <c r="F8" s="114">
        <f>VLOOKUP($B$5,$K$4:$M$13,3)</f>
        <v>5</v>
      </c>
      <c r="G8" s="6"/>
      <c r="K8" s="46">
        <v>5</v>
      </c>
      <c r="L8" s="48">
        <v>65</v>
      </c>
      <c r="M8" s="48">
        <v>25</v>
      </c>
      <c r="N8" s="46"/>
      <c r="O8" s="73" t="s">
        <v>727</v>
      </c>
      <c r="P8" s="70"/>
      <c r="Q8" s="70"/>
      <c r="R8" s="70"/>
      <c r="S8" s="70" t="s">
        <v>113</v>
      </c>
      <c r="T8" s="72"/>
      <c r="U8" s="45"/>
      <c r="V8" s="44"/>
      <c r="W8" s="34" t="s">
        <v>375</v>
      </c>
      <c r="X8" s="4" t="s">
        <v>277</v>
      </c>
      <c r="Y8" s="4" t="s">
        <v>276</v>
      </c>
      <c r="Z8" s="4" t="s">
        <v>20</v>
      </c>
      <c r="AA8" s="85" t="s">
        <v>366</v>
      </c>
      <c r="AB8" s="38" t="s">
        <v>832</v>
      </c>
      <c r="AE8" s="17">
        <v>5</v>
      </c>
      <c r="AF8" s="2" t="s">
        <v>360</v>
      </c>
      <c r="AG8" s="2" t="s">
        <v>359</v>
      </c>
      <c r="AH8" s="2" t="s">
        <v>53</v>
      </c>
      <c r="AI8" s="13" t="s">
        <v>57</v>
      </c>
      <c r="AJ8" s="69" t="s">
        <v>770</v>
      </c>
      <c r="AK8" s="1">
        <f t="shared" si="0"/>
        <v>1</v>
      </c>
      <c r="AL8" s="1">
        <v>12</v>
      </c>
      <c r="AM8" s="30" t="s">
        <v>174</v>
      </c>
      <c r="AN8" s="1">
        <v>1</v>
      </c>
      <c r="AO8" s="4" t="s">
        <v>191</v>
      </c>
      <c r="AP8" s="13" t="s">
        <v>113</v>
      </c>
      <c r="AQ8" s="17">
        <v>5</v>
      </c>
      <c r="AR8" s="2" t="s">
        <v>827</v>
      </c>
      <c r="AS8" s="2" t="s">
        <v>53</v>
      </c>
      <c r="AW8" s="1">
        <v>5</v>
      </c>
      <c r="AX8" s="1" t="s">
        <v>850</v>
      </c>
      <c r="AY8" t="s">
        <v>863</v>
      </c>
      <c r="AZ8" t="s">
        <v>53</v>
      </c>
    </row>
    <row r="9" spans="1:52" x14ac:dyDescent="0.2">
      <c r="A9" s="121" t="s">
        <v>373</v>
      </c>
      <c r="B9" s="1"/>
      <c r="C9" s="121" t="s">
        <v>372</v>
      </c>
      <c r="D9" s="49"/>
      <c r="E9" s="121" t="s">
        <v>371</v>
      </c>
      <c r="F9" s="1"/>
      <c r="G9" s="6"/>
      <c r="H9" s="1"/>
      <c r="K9" s="46">
        <v>6</v>
      </c>
      <c r="L9" s="48">
        <v>77</v>
      </c>
      <c r="M9" s="48">
        <v>30</v>
      </c>
      <c r="N9" s="46"/>
      <c r="O9" s="74" t="s">
        <v>735</v>
      </c>
      <c r="P9" s="42">
        <f>IF($B$4="Heavy",2,IF($B$4="Heavy Cruiser",2,IF($B$4="Heavy Destroyer",2,IF($B$4="Heavy Escort",2,IF($B$4="Heavy Frigate",2,3)))))</f>
        <v>3</v>
      </c>
      <c r="Q9" s="42">
        <v>3</v>
      </c>
      <c r="R9" s="42">
        <v>3</v>
      </c>
      <c r="S9" s="42" t="s">
        <v>113</v>
      </c>
      <c r="T9" s="41" t="s">
        <v>343</v>
      </c>
      <c r="U9" s="45"/>
      <c r="V9" s="44"/>
      <c r="W9" s="34" t="s">
        <v>369</v>
      </c>
      <c r="X9" s="4" t="s">
        <v>223</v>
      </c>
      <c r="Y9" s="4" t="s">
        <v>222</v>
      </c>
      <c r="Z9" s="4" t="s">
        <v>20</v>
      </c>
      <c r="AA9" s="85" t="s">
        <v>364</v>
      </c>
      <c r="AB9" s="38" t="s">
        <v>833</v>
      </c>
      <c r="AE9" s="1">
        <v>6</v>
      </c>
      <c r="AF9" s="4" t="s">
        <v>360</v>
      </c>
      <c r="AG9" s="4" t="s">
        <v>359</v>
      </c>
      <c r="AH9" s="4" t="s">
        <v>53</v>
      </c>
      <c r="AI9" s="13" t="s">
        <v>57</v>
      </c>
      <c r="AJ9" s="34" t="s">
        <v>771</v>
      </c>
      <c r="AK9" s="1">
        <f t="shared" si="0"/>
        <v>1</v>
      </c>
      <c r="AL9" s="1">
        <v>12</v>
      </c>
      <c r="AM9" s="30" t="s">
        <v>174</v>
      </c>
      <c r="AN9" s="1">
        <v>1</v>
      </c>
      <c r="AO9" s="4" t="s">
        <v>28</v>
      </c>
      <c r="AP9" s="13" t="s">
        <v>113</v>
      </c>
      <c r="AQ9" s="1">
        <v>6</v>
      </c>
      <c r="AR9" s="86" t="s">
        <v>827</v>
      </c>
      <c r="AS9" s="4" t="s">
        <v>53</v>
      </c>
      <c r="AW9" s="1">
        <v>6</v>
      </c>
      <c r="AX9" s="1" t="s">
        <v>382</v>
      </c>
      <c r="AY9" t="s">
        <v>863</v>
      </c>
      <c r="AZ9" t="s">
        <v>53</v>
      </c>
    </row>
    <row r="10" spans="1:52" x14ac:dyDescent="0.2">
      <c r="A10" s="121"/>
      <c r="B10" s="96" t="str">
        <f>IF(($F$7-$D$8-$B$19-$B$25-$B$31-$B$39-$B$47-$B$55-$B$67-$B$82-$B$92-$B$106-$B$119-$D$126-$D$127-$B$131-$B$135-$B$139-$B$142-B149+$D$7)&lt;0,"Space Must = 0 or higher","Meets Space Requirements")</f>
        <v>Meets Space Requirements</v>
      </c>
      <c r="C10" s="121"/>
      <c r="D10" s="37"/>
      <c r="E10" s="6"/>
      <c r="F10" s="6"/>
      <c r="G10" s="6"/>
      <c r="K10" s="46">
        <v>7</v>
      </c>
      <c r="L10" s="48">
        <v>89</v>
      </c>
      <c r="M10" s="48">
        <v>35</v>
      </c>
      <c r="N10" s="46"/>
      <c r="O10" s="73" t="s">
        <v>728</v>
      </c>
      <c r="P10" s="70"/>
      <c r="Q10" s="70"/>
      <c r="R10" s="70"/>
      <c r="S10" s="70" t="s">
        <v>113</v>
      </c>
      <c r="T10" s="72"/>
      <c r="U10" s="45"/>
      <c r="V10" s="44"/>
      <c r="W10" s="34" t="s">
        <v>366</v>
      </c>
      <c r="X10" s="4" t="s">
        <v>162</v>
      </c>
      <c r="Y10" s="4" t="s">
        <v>161</v>
      </c>
      <c r="Z10" s="4" t="s">
        <v>28</v>
      </c>
      <c r="AA10" s="85" t="s">
        <v>361</v>
      </c>
      <c r="AB10" s="38" t="s">
        <v>834</v>
      </c>
      <c r="AE10" s="1">
        <v>7</v>
      </c>
      <c r="AF10" s="4" t="s">
        <v>360</v>
      </c>
      <c r="AG10" s="4" t="s">
        <v>359</v>
      </c>
      <c r="AH10" s="4" t="s">
        <v>53</v>
      </c>
      <c r="AJ10" s="14" t="s">
        <v>568</v>
      </c>
      <c r="AK10" s="1"/>
      <c r="AL10" s="1"/>
      <c r="AM10" s="1"/>
      <c r="AN10" s="1"/>
      <c r="AO10" s="1"/>
      <c r="AP10" s="13" t="s">
        <v>113</v>
      </c>
      <c r="AQ10" s="1">
        <v>7</v>
      </c>
      <c r="AR10" s="86" t="s">
        <v>827</v>
      </c>
      <c r="AS10" s="4" t="s">
        <v>53</v>
      </c>
      <c r="AW10" s="1">
        <v>7</v>
      </c>
      <c r="AX10" s="86" t="s">
        <v>851</v>
      </c>
      <c r="AY10" s="4" t="s">
        <v>382</v>
      </c>
      <c r="AZ10" t="s">
        <v>39</v>
      </c>
    </row>
    <row r="11" spans="1:52" x14ac:dyDescent="0.2">
      <c r="A11" s="121"/>
      <c r="B11" s="96" t="str">
        <f>IF(F8+D8-D7&gt;=1,"Meets Structure Requirements","Min. Structure 1")</f>
        <v>Meets Structure Requirements</v>
      </c>
      <c r="C11" s="121"/>
      <c r="D11" s="37"/>
      <c r="E11" s="6"/>
      <c r="F11" s="6"/>
      <c r="G11" s="6"/>
      <c r="K11" s="46">
        <v>8</v>
      </c>
      <c r="L11" s="48">
        <v>101</v>
      </c>
      <c r="M11" s="48">
        <v>40</v>
      </c>
      <c r="N11" s="46"/>
      <c r="O11" s="74" t="s">
        <v>736</v>
      </c>
      <c r="P11" s="42">
        <f>IF($B$4="Heavy",2,IF($B$4="Heavy Cruiser",2,IF($B$4="Heavy Destroyer",2,IF($B$4="Heavy Escort",2,IF($B$4="Heavy Frigate",2,3)))))</f>
        <v>3</v>
      </c>
      <c r="Q11" s="42">
        <v>4</v>
      </c>
      <c r="R11" s="42">
        <v>5</v>
      </c>
      <c r="S11" s="42" t="s">
        <v>113</v>
      </c>
      <c r="T11" s="41" t="s">
        <v>343</v>
      </c>
      <c r="U11" s="45"/>
      <c r="V11" s="44"/>
      <c r="W11" s="34" t="s">
        <v>364</v>
      </c>
      <c r="X11" s="4" t="s">
        <v>97</v>
      </c>
      <c r="Y11" s="4" t="s">
        <v>96</v>
      </c>
      <c r="Z11" s="4" t="s">
        <v>28</v>
      </c>
      <c r="AA11" s="85" t="s">
        <v>354</v>
      </c>
      <c r="AB11" s="38" t="s">
        <v>835</v>
      </c>
      <c r="AE11" s="1">
        <v>8</v>
      </c>
      <c r="AF11" s="4" t="s">
        <v>360</v>
      </c>
      <c r="AG11" s="4" t="s">
        <v>359</v>
      </c>
      <c r="AH11" s="4" t="s">
        <v>53</v>
      </c>
      <c r="AI11" s="13" t="s">
        <v>55</v>
      </c>
      <c r="AJ11" s="34" t="s">
        <v>772</v>
      </c>
      <c r="AK11" s="1">
        <f t="shared" ref="AK11:AK16" si="1">IF($B$2="Explorer",2,IF($B$4="Battleship",2,IF($B$4="Dreadnought",2,4)))</f>
        <v>2</v>
      </c>
      <c r="AL11" s="1">
        <v>12</v>
      </c>
      <c r="AM11" s="30" t="s">
        <v>174</v>
      </c>
      <c r="AN11" s="1">
        <v>2</v>
      </c>
      <c r="AO11" s="4" t="s">
        <v>184</v>
      </c>
      <c r="AP11" s="13" t="s">
        <v>113</v>
      </c>
      <c r="AQ11" s="1">
        <v>8</v>
      </c>
      <c r="AR11" s="86" t="s">
        <v>827</v>
      </c>
      <c r="AS11" s="4" t="s">
        <v>53</v>
      </c>
      <c r="AW11" s="1">
        <v>8</v>
      </c>
      <c r="AX11" s="86" t="s">
        <v>851</v>
      </c>
      <c r="AY11" s="4" t="s">
        <v>382</v>
      </c>
      <c r="AZ11" t="s">
        <v>39</v>
      </c>
    </row>
    <row r="12" spans="1:52" x14ac:dyDescent="0.2">
      <c r="A12" s="121"/>
      <c r="B12" s="15"/>
      <c r="C12" s="121"/>
      <c r="D12" s="37"/>
      <c r="E12" s="6"/>
      <c r="F12" s="6"/>
      <c r="G12" s="6"/>
      <c r="K12" s="46">
        <v>9</v>
      </c>
      <c r="L12" s="48">
        <v>113</v>
      </c>
      <c r="M12" s="48">
        <v>45</v>
      </c>
      <c r="N12" s="46"/>
      <c r="O12" s="73" t="s">
        <v>729</v>
      </c>
      <c r="P12" s="70"/>
      <c r="Q12" s="70"/>
      <c r="R12" s="70"/>
      <c r="S12" s="70" t="s">
        <v>113</v>
      </c>
      <c r="T12" s="72"/>
      <c r="U12" s="45"/>
      <c r="V12" s="44"/>
      <c r="W12" s="34" t="s">
        <v>361</v>
      </c>
      <c r="X12" s="18" t="s">
        <v>34</v>
      </c>
      <c r="Y12" s="4" t="s">
        <v>33</v>
      </c>
      <c r="Z12" s="4" t="s">
        <v>0</v>
      </c>
      <c r="AA12" s="85" t="s">
        <v>825</v>
      </c>
      <c r="AB12" s="38" t="s">
        <v>836</v>
      </c>
      <c r="AE12" s="1">
        <v>9</v>
      </c>
      <c r="AF12" s="4" t="s">
        <v>360</v>
      </c>
      <c r="AG12" s="4" t="s">
        <v>359</v>
      </c>
      <c r="AH12" s="4" t="s">
        <v>53</v>
      </c>
      <c r="AI12" s="13" t="s">
        <v>55</v>
      </c>
      <c r="AJ12" s="34" t="s">
        <v>773</v>
      </c>
      <c r="AK12" s="1">
        <f t="shared" si="1"/>
        <v>2</v>
      </c>
      <c r="AL12" s="1">
        <v>12</v>
      </c>
      <c r="AM12" s="30" t="s">
        <v>174</v>
      </c>
      <c r="AN12" s="1">
        <v>2</v>
      </c>
      <c r="AO12" s="4" t="s">
        <v>39</v>
      </c>
      <c r="AP12" s="13" t="s">
        <v>113</v>
      </c>
      <c r="AQ12" s="1">
        <v>9</v>
      </c>
      <c r="AR12" s="86" t="s">
        <v>827</v>
      </c>
      <c r="AS12" s="4" t="s">
        <v>53</v>
      </c>
      <c r="AW12" s="1">
        <v>9</v>
      </c>
      <c r="AX12" s="86" t="s">
        <v>360</v>
      </c>
      <c r="AY12" s="4" t="s">
        <v>382</v>
      </c>
      <c r="AZ12" t="s">
        <v>39</v>
      </c>
    </row>
    <row r="13" spans="1:52" x14ac:dyDescent="0.2">
      <c r="A13" s="121" t="s">
        <v>357</v>
      </c>
      <c r="B13" s="81">
        <v>0</v>
      </c>
      <c r="C13" s="121" t="s">
        <v>356</v>
      </c>
      <c r="D13" s="119" t="str">
        <f>ROUNDDOWN((D9/3),0) &amp;" @ 3m high or; " &amp; ROUNDDOWN((D9/4),0) &amp;" @ 4m high or; " &amp; ROUNDDOWN((D9/5),0) &amp;" @ 5m high"</f>
        <v>0 @ 3m high or; 0 @ 4m high or; 0 @ 5m high</v>
      </c>
      <c r="E13" s="119"/>
      <c r="F13" s="37"/>
      <c r="G13" s="6"/>
      <c r="K13" s="43">
        <v>10</v>
      </c>
      <c r="L13" s="47">
        <v>125</v>
      </c>
      <c r="M13" s="47">
        <v>50</v>
      </c>
      <c r="N13" s="46"/>
      <c r="O13" s="74" t="s">
        <v>737</v>
      </c>
      <c r="P13" s="42">
        <f>IF($B$4="Heavy",3,IF($B$4="Heavy Cruiser",3,IF($B$4="Heavy Destroyer",3,IF($B$4="Heavy Escort",3,IF($B$4="Heavy Frigate",3,4)))))</f>
        <v>4</v>
      </c>
      <c r="Q13" s="42">
        <v>5</v>
      </c>
      <c r="R13" s="42">
        <v>4</v>
      </c>
      <c r="S13" s="42" t="s">
        <v>113</v>
      </c>
      <c r="T13" s="41" t="s">
        <v>343</v>
      </c>
      <c r="U13" s="45"/>
      <c r="V13" s="44"/>
      <c r="W13" s="34" t="s">
        <v>354</v>
      </c>
      <c r="X13" s="4" t="s">
        <v>5</v>
      </c>
      <c r="Y13" s="4" t="s">
        <v>4</v>
      </c>
      <c r="Z13" s="4" t="s">
        <v>0</v>
      </c>
      <c r="AA13" s="85" t="s">
        <v>826</v>
      </c>
      <c r="AB13" s="38" t="s">
        <v>837</v>
      </c>
      <c r="AE13" s="17">
        <v>10</v>
      </c>
      <c r="AF13" s="2" t="s">
        <v>335</v>
      </c>
      <c r="AG13" s="2" t="s">
        <v>334</v>
      </c>
      <c r="AH13" s="2" t="s">
        <v>39</v>
      </c>
      <c r="AI13" s="13" t="s">
        <v>55</v>
      </c>
      <c r="AJ13" s="69" t="s">
        <v>774</v>
      </c>
      <c r="AK13" s="1">
        <f t="shared" si="1"/>
        <v>2</v>
      </c>
      <c r="AL13" s="1">
        <v>12</v>
      </c>
      <c r="AM13" s="30" t="s">
        <v>174</v>
      </c>
      <c r="AN13" s="1">
        <v>2</v>
      </c>
      <c r="AO13" s="4" t="s">
        <v>179</v>
      </c>
      <c r="AP13" s="13" t="s">
        <v>113</v>
      </c>
      <c r="AQ13" s="17">
        <v>10</v>
      </c>
      <c r="AR13" s="2" t="s">
        <v>828</v>
      </c>
      <c r="AS13" s="2" t="s">
        <v>39</v>
      </c>
      <c r="AW13" s="17">
        <v>10</v>
      </c>
      <c r="AX13" s="86" t="s">
        <v>360</v>
      </c>
      <c r="AY13" s="4" t="s">
        <v>382</v>
      </c>
      <c r="AZ13" t="s">
        <v>39</v>
      </c>
    </row>
    <row r="14" spans="1:52" x14ac:dyDescent="0.2">
      <c r="A14" s="121" t="s">
        <v>352</v>
      </c>
      <c r="B14" s="114">
        <f>B13*D14</f>
        <v>0</v>
      </c>
      <c r="C14" s="121" t="s">
        <v>351</v>
      </c>
      <c r="D14" s="81">
        <v>15</v>
      </c>
      <c r="E14" s="121" t="s">
        <v>350</v>
      </c>
      <c r="F14" s="114" t="str">
        <f>VLOOKUP($B$4,$R$43:$V$124,5, FALSE)</f>
        <v>10-25</v>
      </c>
      <c r="G14" s="6"/>
      <c r="M14" s="53"/>
      <c r="N14" s="48"/>
      <c r="O14" s="73" t="s">
        <v>730</v>
      </c>
      <c r="P14" s="70"/>
      <c r="Q14" s="70"/>
      <c r="R14" s="70"/>
      <c r="S14" s="70" t="s">
        <v>113</v>
      </c>
      <c r="T14" s="72"/>
      <c r="U14" s="45"/>
      <c r="V14" s="44"/>
      <c r="W14" s="34" t="s">
        <v>3</v>
      </c>
      <c r="X14" s="4" t="s">
        <v>2</v>
      </c>
      <c r="Y14" s="4" t="s">
        <v>1</v>
      </c>
      <c r="Z14" s="4" t="s">
        <v>0</v>
      </c>
      <c r="AA14" s="14"/>
      <c r="AE14" s="1">
        <v>11</v>
      </c>
      <c r="AF14" s="4" t="s">
        <v>335</v>
      </c>
      <c r="AG14" s="4" t="s">
        <v>334</v>
      </c>
      <c r="AH14" s="4" t="s">
        <v>39</v>
      </c>
      <c r="AI14" s="13" t="s">
        <v>55</v>
      </c>
      <c r="AJ14" s="34" t="s">
        <v>775</v>
      </c>
      <c r="AK14" s="1">
        <f t="shared" si="1"/>
        <v>2</v>
      </c>
      <c r="AL14" s="1">
        <v>12</v>
      </c>
      <c r="AM14" s="30" t="s">
        <v>174</v>
      </c>
      <c r="AN14" s="1">
        <v>2</v>
      </c>
      <c r="AO14" s="4" t="s">
        <v>20</v>
      </c>
      <c r="AP14" s="13" t="s">
        <v>113</v>
      </c>
      <c r="AQ14" s="1">
        <v>11</v>
      </c>
      <c r="AR14" s="86" t="s">
        <v>828</v>
      </c>
      <c r="AS14" s="4" t="s">
        <v>39</v>
      </c>
      <c r="AW14" s="1">
        <v>11</v>
      </c>
      <c r="AX14" s="86" t="s">
        <v>360</v>
      </c>
      <c r="AY14" s="4" t="s">
        <v>382</v>
      </c>
      <c r="AZ14" t="s">
        <v>39</v>
      </c>
    </row>
    <row r="15" spans="1:52" x14ac:dyDescent="0.2">
      <c r="A15" s="92"/>
      <c r="B15" s="15"/>
      <c r="C15" s="37"/>
      <c r="D15" s="37"/>
      <c r="E15" s="6"/>
      <c r="F15" s="6"/>
      <c r="G15" s="6"/>
      <c r="K15" s="103" t="s">
        <v>816</v>
      </c>
      <c r="L15" s="76"/>
      <c r="M15" s="75"/>
      <c r="N15" s="48"/>
      <c r="O15" s="75" t="s">
        <v>349</v>
      </c>
      <c r="P15" s="42">
        <f>IF($B$4="Heavy",3,IF($B$4="Heavy Cruiser",3,IF($B$4="Heavy Destroyer",3,IF($B$4="Heavy Escort",3,IF($B$4="Heavy Frigate",3,4)))))</f>
        <v>4</v>
      </c>
      <c r="Q15" s="42">
        <v>6</v>
      </c>
      <c r="R15" s="42">
        <v>5</v>
      </c>
      <c r="S15" s="42" t="s">
        <v>113</v>
      </c>
      <c r="T15" s="41" t="s">
        <v>343</v>
      </c>
      <c r="U15" s="45"/>
      <c r="V15" s="44"/>
      <c r="AE15" s="1">
        <v>12</v>
      </c>
      <c r="AF15" s="4" t="s">
        <v>335</v>
      </c>
      <c r="AG15" s="4" t="s">
        <v>334</v>
      </c>
      <c r="AH15" s="4" t="s">
        <v>39</v>
      </c>
      <c r="AI15" s="13" t="s">
        <v>55</v>
      </c>
      <c r="AJ15" s="34" t="s">
        <v>776</v>
      </c>
      <c r="AK15" s="1">
        <f t="shared" si="1"/>
        <v>2</v>
      </c>
      <c r="AL15" s="1">
        <v>12</v>
      </c>
      <c r="AM15" s="30" t="s">
        <v>174</v>
      </c>
      <c r="AN15" s="1">
        <v>2</v>
      </c>
      <c r="AO15" s="4" t="s">
        <v>191</v>
      </c>
      <c r="AP15" s="13" t="s">
        <v>113</v>
      </c>
      <c r="AQ15" s="1">
        <v>12</v>
      </c>
      <c r="AR15" s="86" t="s">
        <v>828</v>
      </c>
      <c r="AS15" s="4" t="s">
        <v>39</v>
      </c>
      <c r="AW15" s="1">
        <v>12</v>
      </c>
      <c r="AX15" s="86" t="s">
        <v>852</v>
      </c>
      <c r="AY15" s="4" t="s">
        <v>382</v>
      </c>
      <c r="AZ15" t="s">
        <v>39</v>
      </c>
    </row>
    <row r="16" spans="1:52" x14ac:dyDescent="0.2">
      <c r="A16" s="117" t="s">
        <v>342</v>
      </c>
      <c r="B16" s="117"/>
      <c r="C16" s="117"/>
      <c r="D16" s="117"/>
      <c r="E16" s="5"/>
      <c r="F16" s="5"/>
      <c r="G16" s="5"/>
      <c r="K16" t="s">
        <v>154</v>
      </c>
      <c r="L16" t="s">
        <v>47</v>
      </c>
      <c r="M16" s="45" t="s">
        <v>817</v>
      </c>
      <c r="N16" s="48" t="s">
        <v>818</v>
      </c>
      <c r="O16" s="73" t="s">
        <v>731</v>
      </c>
      <c r="P16" s="70"/>
      <c r="Q16" s="70"/>
      <c r="R16" s="70"/>
      <c r="S16" s="70"/>
      <c r="T16" s="72"/>
      <c r="U16" s="45"/>
      <c r="V16" s="44"/>
      <c r="AE16" s="1">
        <v>13</v>
      </c>
      <c r="AF16" s="4" t="s">
        <v>335</v>
      </c>
      <c r="AG16" s="4" t="s">
        <v>334</v>
      </c>
      <c r="AH16" s="4" t="s">
        <v>39</v>
      </c>
      <c r="AI16" s="13" t="s">
        <v>55</v>
      </c>
      <c r="AJ16" s="34" t="s">
        <v>777</v>
      </c>
      <c r="AK16" s="1">
        <f t="shared" si="1"/>
        <v>2</v>
      </c>
      <c r="AL16" s="1">
        <v>12</v>
      </c>
      <c r="AM16" s="30" t="s">
        <v>174</v>
      </c>
      <c r="AN16" s="1">
        <v>2</v>
      </c>
      <c r="AO16" s="4" t="s">
        <v>28</v>
      </c>
      <c r="AP16" s="13" t="s">
        <v>113</v>
      </c>
      <c r="AQ16" s="1">
        <v>13</v>
      </c>
      <c r="AR16" s="86" t="s">
        <v>828</v>
      </c>
      <c r="AS16" s="4" t="s">
        <v>39</v>
      </c>
      <c r="AW16" s="1">
        <v>13</v>
      </c>
      <c r="AX16" s="86" t="s">
        <v>852</v>
      </c>
      <c r="AY16" s="4" t="s">
        <v>382</v>
      </c>
      <c r="AZ16" t="s">
        <v>39</v>
      </c>
    </row>
    <row r="17" spans="1:52" x14ac:dyDescent="0.2">
      <c r="A17" s="92"/>
      <c r="B17" s="15"/>
      <c r="C17" s="37"/>
      <c r="D17" s="37"/>
      <c r="E17" s="6"/>
      <c r="F17" s="6"/>
      <c r="G17" s="6"/>
      <c r="K17" t="s">
        <v>820</v>
      </c>
      <c r="L17" s="1">
        <v>8</v>
      </c>
      <c r="M17" s="48">
        <v>14</v>
      </c>
      <c r="N17" s="48">
        <v>3</v>
      </c>
      <c r="O17" s="74" t="s">
        <v>738</v>
      </c>
      <c r="P17" s="42">
        <f>IF($B$4="Heavy",4,IF($B$4="Heavy Cruiser",4,IF($B$4="Heavy Destroyer",4,IF($B$4="Heavy Escort",4,IF($B$4="Heavy Frigate",4,5)))))</f>
        <v>5</v>
      </c>
      <c r="Q17" s="42">
        <v>7</v>
      </c>
      <c r="R17" s="42">
        <v>4</v>
      </c>
      <c r="S17" s="42" t="s">
        <v>113</v>
      </c>
      <c r="T17" s="41" t="s">
        <v>343</v>
      </c>
      <c r="U17" s="45"/>
      <c r="V17" s="44"/>
      <c r="AE17" s="1">
        <v>14</v>
      </c>
      <c r="AF17" s="4" t="s">
        <v>335</v>
      </c>
      <c r="AG17" s="4" t="s">
        <v>334</v>
      </c>
      <c r="AH17" s="4" t="s">
        <v>39</v>
      </c>
      <c r="AI17" s="13"/>
      <c r="AJ17" s="34" t="s">
        <v>573</v>
      </c>
      <c r="AK17" s="1"/>
      <c r="AL17" s="1"/>
      <c r="AM17" s="30"/>
      <c r="AN17" s="1"/>
      <c r="AO17" s="4"/>
      <c r="AP17" s="13"/>
      <c r="AQ17" s="1">
        <v>14</v>
      </c>
      <c r="AR17" s="86" t="s">
        <v>828</v>
      </c>
      <c r="AS17" s="4" t="s">
        <v>39</v>
      </c>
      <c r="AW17" s="1">
        <v>14</v>
      </c>
      <c r="AX17" s="86" t="s">
        <v>852</v>
      </c>
      <c r="AY17" s="4" t="s">
        <v>382</v>
      </c>
      <c r="AZ17" t="s">
        <v>39</v>
      </c>
    </row>
    <row r="18" spans="1:52" x14ac:dyDescent="0.2">
      <c r="A18" s="121" t="s">
        <v>154</v>
      </c>
      <c r="B18" s="120" t="s">
        <v>258</v>
      </c>
      <c r="C18" s="120"/>
      <c r="D18" s="37"/>
      <c r="E18" s="6"/>
      <c r="F18" s="6"/>
      <c r="G18" s="6"/>
      <c r="K18" s="36" t="s">
        <v>819</v>
      </c>
      <c r="L18" s="28">
        <v>9</v>
      </c>
      <c r="M18" s="83">
        <v>16</v>
      </c>
      <c r="N18" s="28">
        <v>4</v>
      </c>
      <c r="O18" s="73" t="s">
        <v>732</v>
      </c>
      <c r="P18" s="70"/>
      <c r="Q18" s="70"/>
      <c r="R18" s="70"/>
      <c r="S18" s="70"/>
      <c r="T18" s="72"/>
      <c r="U18" s="45"/>
      <c r="V18" s="44"/>
      <c r="AE18" s="17">
        <v>15</v>
      </c>
      <c r="AF18" s="2" t="s">
        <v>312</v>
      </c>
      <c r="AG18" s="2" t="s">
        <v>311</v>
      </c>
      <c r="AH18" s="2" t="s">
        <v>39</v>
      </c>
      <c r="AI18" s="13" t="s">
        <v>176</v>
      </c>
      <c r="AJ18" s="34" t="s">
        <v>778</v>
      </c>
      <c r="AK18" s="1">
        <f>IF($B$2="Explorer",4,IF($B$4="Battleship",4,IF($B$4="Dreadnought",4,6)))</f>
        <v>4</v>
      </c>
      <c r="AL18" s="1">
        <v>13</v>
      </c>
      <c r="AM18" s="30" t="s">
        <v>174</v>
      </c>
      <c r="AN18" s="1">
        <v>3</v>
      </c>
      <c r="AO18" s="4" t="s">
        <v>184</v>
      </c>
      <c r="AP18" s="13" t="s">
        <v>113</v>
      </c>
      <c r="AQ18" s="17">
        <v>15</v>
      </c>
      <c r="AR18" s="2" t="s">
        <v>829</v>
      </c>
      <c r="AS18" s="2" t="s">
        <v>39</v>
      </c>
      <c r="AW18" s="17">
        <v>15</v>
      </c>
      <c r="AX18" s="86" t="s">
        <v>852</v>
      </c>
      <c r="AY18" s="4" t="s">
        <v>382</v>
      </c>
      <c r="AZ18" t="s">
        <v>39</v>
      </c>
    </row>
    <row r="19" spans="1:52" x14ac:dyDescent="0.2">
      <c r="A19" s="121" t="s">
        <v>47</v>
      </c>
      <c r="B19" s="114" t="str">
        <f>VLOOKUP(B18,$K$41:$M$45,2,FALSE)</f>
        <v>0</v>
      </c>
      <c r="C19" s="37"/>
      <c r="D19" s="37"/>
      <c r="E19" s="6"/>
      <c r="F19" s="6"/>
      <c r="G19" s="6"/>
      <c r="K19" t="s">
        <v>821</v>
      </c>
      <c r="L19" s="1">
        <v>10</v>
      </c>
      <c r="M19" s="1">
        <v>18</v>
      </c>
      <c r="N19" s="48">
        <v>5</v>
      </c>
      <c r="O19" s="41"/>
      <c r="P19" s="42">
        <f>IF($B$4="Heavy",4,IF($B$4="Heavy Cruiser",4,IF($B$4="Heavy Destroyer",4,IF($B$4="Heavy Escort",4,IF($B$4="Heavy Frigate",4,5)))))</f>
        <v>5</v>
      </c>
      <c r="Q19" s="42">
        <v>8</v>
      </c>
      <c r="R19" s="42">
        <v>5</v>
      </c>
      <c r="S19" s="42"/>
      <c r="T19" s="41" t="s">
        <v>343</v>
      </c>
      <c r="U19" s="45"/>
      <c r="V19" s="45"/>
      <c r="AE19" s="1">
        <v>16</v>
      </c>
      <c r="AF19" s="4" t="s">
        <v>312</v>
      </c>
      <c r="AG19" s="4" t="s">
        <v>311</v>
      </c>
      <c r="AH19" s="4" t="s">
        <v>39</v>
      </c>
      <c r="AI19" s="13" t="s">
        <v>176</v>
      </c>
      <c r="AJ19" s="34" t="s">
        <v>779</v>
      </c>
      <c r="AK19" s="1">
        <f>IF($B$2="Explorer",4,IF($B$4="Battleship",4,IF($B$4="Dreadnought",4,6)))</f>
        <v>4</v>
      </c>
      <c r="AL19" s="1">
        <v>13</v>
      </c>
      <c r="AM19" s="30" t="s">
        <v>174</v>
      </c>
      <c r="AN19" s="1">
        <v>3</v>
      </c>
      <c r="AO19" s="4" t="s">
        <v>39</v>
      </c>
      <c r="AP19" s="13"/>
      <c r="AQ19" s="1">
        <v>16</v>
      </c>
      <c r="AR19" s="86" t="s">
        <v>829</v>
      </c>
      <c r="AS19" s="4" t="s">
        <v>39</v>
      </c>
      <c r="AW19" s="1">
        <v>16</v>
      </c>
      <c r="AX19" s="86" t="s">
        <v>335</v>
      </c>
      <c r="AY19" s="4" t="s">
        <v>852</v>
      </c>
      <c r="AZ19" t="s">
        <v>39</v>
      </c>
    </row>
    <row r="20" spans="1:52" x14ac:dyDescent="0.2">
      <c r="A20" s="121" t="s">
        <v>65</v>
      </c>
      <c r="B20" s="114" t="str">
        <f>VLOOKUP(B18,$K$41:$M$45,3,FALSE)</f>
        <v>A (+0)</v>
      </c>
      <c r="C20" s="37"/>
      <c r="D20" s="37"/>
      <c r="E20" s="6"/>
      <c r="F20" s="6"/>
      <c r="G20" s="6"/>
      <c r="K20" t="s">
        <v>10</v>
      </c>
      <c r="L20">
        <v>0</v>
      </c>
      <c r="M20">
        <v>0</v>
      </c>
      <c r="N20" s="109">
        <v>0</v>
      </c>
      <c r="O20" s="76" t="s">
        <v>840</v>
      </c>
      <c r="S20" s="42"/>
      <c r="T20" s="41"/>
      <c r="U20" s="45"/>
      <c r="V20" s="45"/>
      <c r="AE20" s="1">
        <v>17</v>
      </c>
      <c r="AF20" s="4" t="s">
        <v>312</v>
      </c>
      <c r="AG20" s="4" t="s">
        <v>311</v>
      </c>
      <c r="AH20" s="4" t="s">
        <v>39</v>
      </c>
      <c r="AI20" s="13" t="s">
        <v>176</v>
      </c>
      <c r="AJ20" s="69" t="s">
        <v>780</v>
      </c>
      <c r="AK20" s="1">
        <f>IF($B$2="Explorer",4,IF($B$4="Battleship",4,IF($B$4="Dreadnought",4,6)))</f>
        <v>4</v>
      </c>
      <c r="AL20" s="1">
        <v>13</v>
      </c>
      <c r="AM20" s="30" t="s">
        <v>174</v>
      </c>
      <c r="AN20" s="1">
        <v>3</v>
      </c>
      <c r="AO20" s="4" t="s">
        <v>39</v>
      </c>
      <c r="AP20" s="13"/>
      <c r="AQ20" s="1">
        <v>17</v>
      </c>
      <c r="AR20" s="86" t="s">
        <v>829</v>
      </c>
      <c r="AS20" s="4" t="s">
        <v>39</v>
      </c>
      <c r="AW20" s="1">
        <v>17</v>
      </c>
      <c r="AX20" s="86" t="s">
        <v>335</v>
      </c>
      <c r="AY20" s="4" t="s">
        <v>852</v>
      </c>
      <c r="AZ20" t="s">
        <v>39</v>
      </c>
    </row>
    <row r="21" spans="1:52" x14ac:dyDescent="0.2">
      <c r="A21" s="92"/>
      <c r="B21" s="15"/>
      <c r="C21" s="37"/>
      <c r="D21" s="37"/>
      <c r="E21" s="6"/>
      <c r="F21" s="6"/>
      <c r="G21" s="6"/>
      <c r="M21" t="s">
        <v>877</v>
      </c>
      <c r="N21" s="48" t="s">
        <v>857</v>
      </c>
      <c r="O21" s="90" t="s">
        <v>841</v>
      </c>
      <c r="P21" s="1">
        <v>1</v>
      </c>
      <c r="Q21" s="1">
        <v>1</v>
      </c>
      <c r="R21" s="1">
        <v>2</v>
      </c>
      <c r="S21" t="s">
        <v>113</v>
      </c>
      <c r="T21" s="41" t="s">
        <v>343</v>
      </c>
      <c r="V21" s="45"/>
      <c r="AE21" s="1">
        <v>18</v>
      </c>
      <c r="AF21" s="4" t="s">
        <v>312</v>
      </c>
      <c r="AG21" s="4" t="s">
        <v>311</v>
      </c>
      <c r="AH21" s="4" t="s">
        <v>39</v>
      </c>
      <c r="AJ21" s="14" t="s">
        <v>565</v>
      </c>
      <c r="AK21" s="1"/>
      <c r="AL21" s="1"/>
      <c r="AM21" s="1"/>
      <c r="AN21" s="1"/>
      <c r="AO21" s="1"/>
      <c r="AP21" s="13"/>
      <c r="AQ21" s="1">
        <v>18</v>
      </c>
      <c r="AR21" s="86" t="s">
        <v>829</v>
      </c>
      <c r="AS21" s="4" t="s">
        <v>39</v>
      </c>
      <c r="AW21" s="1">
        <v>18</v>
      </c>
      <c r="AX21" s="86" t="s">
        <v>335</v>
      </c>
      <c r="AY21" s="4" t="s">
        <v>852</v>
      </c>
      <c r="AZ21" t="s">
        <v>39</v>
      </c>
    </row>
    <row r="22" spans="1:52" x14ac:dyDescent="0.2">
      <c r="A22" s="117" t="s">
        <v>325</v>
      </c>
      <c r="B22" s="117"/>
      <c r="C22" s="117"/>
      <c r="D22" s="117"/>
      <c r="E22" s="5"/>
      <c r="F22" s="5"/>
      <c r="G22" s="5"/>
      <c r="N22" s="48" t="s">
        <v>858</v>
      </c>
      <c r="O22" s="77" t="s">
        <v>842</v>
      </c>
      <c r="P22" s="42">
        <v>1</v>
      </c>
      <c r="Q22" s="42">
        <v>2</v>
      </c>
      <c r="R22" s="42">
        <v>2</v>
      </c>
      <c r="S22" s="42" t="s">
        <v>113</v>
      </c>
      <c r="T22" s="41" t="s">
        <v>343</v>
      </c>
      <c r="U22" s="45"/>
      <c r="V22" s="45"/>
      <c r="AE22" s="1">
        <v>19</v>
      </c>
      <c r="AF22" s="4" t="s">
        <v>312</v>
      </c>
      <c r="AG22" s="4" t="s">
        <v>311</v>
      </c>
      <c r="AH22" s="4" t="s">
        <v>39</v>
      </c>
      <c r="AI22" s="13" t="s">
        <v>51</v>
      </c>
      <c r="AJ22" s="34" t="s">
        <v>781</v>
      </c>
      <c r="AK22" s="1">
        <f>IF($B$2="Explorer",6,IF($B$4="Battleship",6,IF($B$4="Dreadnought",6,8)))</f>
        <v>6</v>
      </c>
      <c r="AL22" s="1">
        <v>14</v>
      </c>
      <c r="AM22" s="30" t="s">
        <v>174</v>
      </c>
      <c r="AN22" s="1">
        <v>3</v>
      </c>
      <c r="AO22" s="4" t="s">
        <v>39</v>
      </c>
      <c r="AP22" s="13"/>
      <c r="AQ22" s="1">
        <v>19</v>
      </c>
      <c r="AR22" s="86" t="s">
        <v>829</v>
      </c>
      <c r="AS22" s="4" t="s">
        <v>39</v>
      </c>
      <c r="AW22" s="1">
        <v>19</v>
      </c>
      <c r="AX22" s="86" t="s">
        <v>335</v>
      </c>
      <c r="AY22" s="4" t="s">
        <v>852</v>
      </c>
      <c r="AZ22" t="s">
        <v>39</v>
      </c>
    </row>
    <row r="23" spans="1:52" x14ac:dyDescent="0.2">
      <c r="A23" s="92"/>
      <c r="B23" s="15"/>
      <c r="C23" s="37"/>
      <c r="D23" s="37"/>
      <c r="E23" s="6"/>
      <c r="F23" s="6"/>
      <c r="G23" s="6"/>
      <c r="O23" s="26" t="s">
        <v>341</v>
      </c>
      <c r="P23" s="25"/>
      <c r="Q23" s="25"/>
      <c r="R23" s="25"/>
      <c r="V23" s="26" t="s">
        <v>340</v>
      </c>
      <c r="AE23" s="1">
        <v>20</v>
      </c>
      <c r="AF23" s="4" t="s">
        <v>312</v>
      </c>
      <c r="AG23" s="4" t="s">
        <v>311</v>
      </c>
      <c r="AH23" s="4" t="s">
        <v>39</v>
      </c>
      <c r="AI23" s="13" t="s">
        <v>46</v>
      </c>
      <c r="AJ23" s="34" t="s">
        <v>782</v>
      </c>
      <c r="AK23" s="1">
        <f>IF($B$2="Explorer",7,IF($B$4="Battleship",7,IF($B$4="Dreadnought",7,9)))</f>
        <v>7</v>
      </c>
      <c r="AL23" s="1">
        <v>14</v>
      </c>
      <c r="AM23" s="30" t="s">
        <v>174</v>
      </c>
      <c r="AN23" s="1">
        <v>4</v>
      </c>
      <c r="AO23" s="4" t="s">
        <v>20</v>
      </c>
      <c r="AP23" s="13" t="s">
        <v>113</v>
      </c>
      <c r="AQ23" s="1">
        <v>20</v>
      </c>
      <c r="AR23" s="86" t="s">
        <v>829</v>
      </c>
      <c r="AS23" s="4" t="s">
        <v>39</v>
      </c>
      <c r="AW23" s="1">
        <v>20</v>
      </c>
      <c r="AX23" s="86" t="s">
        <v>335</v>
      </c>
      <c r="AY23" s="4" t="s">
        <v>852</v>
      </c>
      <c r="AZ23" t="s">
        <v>39</v>
      </c>
    </row>
    <row r="24" spans="1:52" x14ac:dyDescent="0.2">
      <c r="A24" s="121" t="s">
        <v>154</v>
      </c>
      <c r="B24" s="120" t="s">
        <v>258</v>
      </c>
      <c r="C24" s="120"/>
      <c r="D24" s="37"/>
      <c r="E24" s="6"/>
      <c r="F24" s="6"/>
      <c r="G24" s="6"/>
      <c r="H24" s="101" t="s">
        <v>338</v>
      </c>
      <c r="I24" s="102"/>
      <c r="O24" t="s">
        <v>154</v>
      </c>
      <c r="P24" t="s">
        <v>47</v>
      </c>
      <c r="Q24" t="s">
        <v>337</v>
      </c>
      <c r="R24" t="s">
        <v>139</v>
      </c>
      <c r="S24" t="s">
        <v>296</v>
      </c>
      <c r="V24" s="13" t="s">
        <v>85</v>
      </c>
      <c r="W24" s="34" t="s">
        <v>47</v>
      </c>
      <c r="X24" s="13" t="s">
        <v>74</v>
      </c>
      <c r="Y24" s="13" t="s">
        <v>336</v>
      </c>
      <c r="AA24" s="13" t="s">
        <v>65</v>
      </c>
      <c r="AB24" s="13" t="s">
        <v>296</v>
      </c>
      <c r="AE24" s="1">
        <v>21</v>
      </c>
      <c r="AF24" s="4" t="s">
        <v>312</v>
      </c>
      <c r="AG24" s="4" t="s">
        <v>311</v>
      </c>
      <c r="AH24" s="4" t="s">
        <v>39</v>
      </c>
      <c r="AJ24" s="14" t="s">
        <v>572</v>
      </c>
      <c r="AK24" s="1"/>
      <c r="AL24" s="1"/>
      <c r="AM24" s="1"/>
      <c r="AN24" s="1"/>
      <c r="AO24" s="1"/>
      <c r="AP24" s="13" t="s">
        <v>113</v>
      </c>
      <c r="AQ24" s="1">
        <v>21</v>
      </c>
      <c r="AR24" s="86" t="s">
        <v>829</v>
      </c>
      <c r="AS24" s="4" t="s">
        <v>39</v>
      </c>
      <c r="AW24" s="1">
        <v>21</v>
      </c>
      <c r="AX24" s="86" t="s">
        <v>853</v>
      </c>
      <c r="AY24" s="4" t="s">
        <v>852</v>
      </c>
      <c r="AZ24" t="s">
        <v>184</v>
      </c>
    </row>
    <row r="25" spans="1:52" x14ac:dyDescent="0.2">
      <c r="A25" s="121" t="s">
        <v>47</v>
      </c>
      <c r="B25" s="114" t="str">
        <f>VLOOKUP(B24,$K$41:$M$45,2,FALSE)</f>
        <v>0</v>
      </c>
      <c r="C25" s="37"/>
      <c r="D25" s="37"/>
      <c r="E25" s="6"/>
      <c r="F25" s="6"/>
      <c r="G25" s="6"/>
      <c r="H25">
        <v>0</v>
      </c>
      <c r="O25" s="76" t="s">
        <v>10</v>
      </c>
      <c r="P25" s="1">
        <v>0</v>
      </c>
      <c r="Q25" s="1">
        <v>0</v>
      </c>
      <c r="R25" s="1">
        <v>0</v>
      </c>
      <c r="S25" s="38" t="s">
        <v>113</v>
      </c>
      <c r="T25" s="13" t="s">
        <v>113</v>
      </c>
      <c r="V25" t="s">
        <v>10</v>
      </c>
      <c r="W25" s="1">
        <v>0</v>
      </c>
      <c r="X25" s="1">
        <v>10</v>
      </c>
      <c r="Y25" s="1">
        <v>0</v>
      </c>
      <c r="Z25" s="1">
        <v>0</v>
      </c>
      <c r="AA25" s="1"/>
      <c r="AE25" s="1">
        <v>22</v>
      </c>
      <c r="AF25" s="4" t="s">
        <v>312</v>
      </c>
      <c r="AG25" s="4" t="s">
        <v>311</v>
      </c>
      <c r="AH25" s="4" t="s">
        <v>39</v>
      </c>
      <c r="AI25" s="13" t="s">
        <v>243</v>
      </c>
      <c r="AJ25" s="14" t="s">
        <v>783</v>
      </c>
      <c r="AK25" s="1">
        <f t="shared" ref="AK25:AK30" si="2">IF($B$2="Explorer",1,IF($B$4="Battleship",1,IF($B$4="Dreadnought",1,2)))</f>
        <v>1</v>
      </c>
      <c r="AL25" s="1">
        <v>10</v>
      </c>
      <c r="AM25" s="30" t="s">
        <v>208</v>
      </c>
      <c r="AN25" s="1">
        <v>1</v>
      </c>
      <c r="AO25" s="4" t="s">
        <v>53</v>
      </c>
      <c r="AP25" s="13" t="s">
        <v>113</v>
      </c>
      <c r="AQ25" s="1">
        <v>22</v>
      </c>
      <c r="AR25" s="86" t="s">
        <v>829</v>
      </c>
      <c r="AS25" s="4" t="s">
        <v>39</v>
      </c>
      <c r="AW25" s="1">
        <v>22</v>
      </c>
      <c r="AX25" s="86" t="s">
        <v>853</v>
      </c>
      <c r="AY25" s="4" t="s">
        <v>852</v>
      </c>
      <c r="AZ25" t="s">
        <v>184</v>
      </c>
    </row>
    <row r="26" spans="1:52" x14ac:dyDescent="0.2">
      <c r="A26" s="121" t="s">
        <v>65</v>
      </c>
      <c r="B26" s="114" t="str">
        <f>VLOOKUP(B24,$K$41:$M$45,3,FALSE)</f>
        <v>A (+0)</v>
      </c>
      <c r="C26" s="37"/>
      <c r="D26" s="37"/>
      <c r="E26" s="6"/>
      <c r="F26" s="6"/>
      <c r="G26" s="6"/>
      <c r="H26">
        <v>1</v>
      </c>
      <c r="I26">
        <v>5</v>
      </c>
      <c r="O26" s="78" t="s">
        <v>739</v>
      </c>
      <c r="P26" s="79"/>
      <c r="Q26" s="79"/>
      <c r="R26" s="79"/>
      <c r="S26" s="70" t="s">
        <v>113</v>
      </c>
      <c r="T26" s="80"/>
      <c r="V26" s="13" t="s">
        <v>57</v>
      </c>
      <c r="W26" s="1">
        <f>IF($B$2="Explorer",1,IF($B$4="Battleship",1,IF($B$4="Dreadnought",1,2)))</f>
        <v>1</v>
      </c>
      <c r="X26" s="1">
        <v>12</v>
      </c>
      <c r="Y26" s="30" t="s">
        <v>174</v>
      </c>
      <c r="Z26" s="1">
        <v>1</v>
      </c>
      <c r="AA26" s="4" t="s">
        <v>53</v>
      </c>
      <c r="AB26" s="13" t="s">
        <v>330</v>
      </c>
      <c r="AC26" s="13" t="s">
        <v>314</v>
      </c>
      <c r="AE26" s="1">
        <v>23</v>
      </c>
      <c r="AF26" s="4" t="s">
        <v>312</v>
      </c>
      <c r="AG26" s="4" t="s">
        <v>311</v>
      </c>
      <c r="AH26" s="4" t="s">
        <v>39</v>
      </c>
      <c r="AI26" s="13" t="s">
        <v>243</v>
      </c>
      <c r="AJ26" s="14" t="s">
        <v>785</v>
      </c>
      <c r="AK26" s="1">
        <f t="shared" si="2"/>
        <v>1</v>
      </c>
      <c r="AL26" s="1">
        <v>10</v>
      </c>
      <c r="AM26" s="30" t="s">
        <v>208</v>
      </c>
      <c r="AN26" s="1">
        <v>1</v>
      </c>
      <c r="AO26" s="4" t="s">
        <v>184</v>
      </c>
      <c r="AP26" s="13" t="s">
        <v>113</v>
      </c>
      <c r="AQ26" s="1">
        <v>23</v>
      </c>
      <c r="AR26" s="86" t="s">
        <v>829</v>
      </c>
      <c r="AS26" s="4" t="s">
        <v>39</v>
      </c>
      <c r="AW26" s="1">
        <v>23</v>
      </c>
      <c r="AX26" s="86" t="s">
        <v>853</v>
      </c>
      <c r="AY26" s="4" t="s">
        <v>852</v>
      </c>
      <c r="AZ26" t="s">
        <v>184</v>
      </c>
    </row>
    <row r="27" spans="1:52" x14ac:dyDescent="0.2">
      <c r="A27" s="92"/>
      <c r="B27" s="6"/>
      <c r="C27" s="6"/>
      <c r="D27" s="6"/>
      <c r="E27" s="6"/>
      <c r="F27" s="6"/>
      <c r="G27" s="6"/>
      <c r="H27">
        <v>2</v>
      </c>
      <c r="I27">
        <v>10</v>
      </c>
      <c r="O27" s="74" t="s">
        <v>744</v>
      </c>
      <c r="P27" s="1">
        <v>1</v>
      </c>
      <c r="Q27" s="1">
        <v>2</v>
      </c>
      <c r="R27" s="1">
        <v>2</v>
      </c>
      <c r="S27" s="38" t="s">
        <v>113</v>
      </c>
      <c r="T27" s="13" t="s">
        <v>321</v>
      </c>
      <c r="V27" s="13" t="s">
        <v>55</v>
      </c>
      <c r="W27" s="1">
        <f>IF($B$2="Explorer",2,IF($B$4="Battleship",2,IF($B$4="Dreadnought",2,4)))</f>
        <v>2</v>
      </c>
      <c r="X27" s="1">
        <v>12</v>
      </c>
      <c r="Y27" s="30" t="s">
        <v>174</v>
      </c>
      <c r="Z27" s="1">
        <v>2</v>
      </c>
      <c r="AA27" s="4" t="s">
        <v>53</v>
      </c>
      <c r="AB27" s="13" t="s">
        <v>328</v>
      </c>
      <c r="AC27" s="13" t="s">
        <v>314</v>
      </c>
      <c r="AE27" s="1">
        <v>24</v>
      </c>
      <c r="AF27" s="4" t="s">
        <v>312</v>
      </c>
      <c r="AG27" s="4" t="s">
        <v>311</v>
      </c>
      <c r="AH27" s="4" t="s">
        <v>39</v>
      </c>
      <c r="AI27" s="13" t="s">
        <v>57</v>
      </c>
      <c r="AJ27" s="14" t="s">
        <v>786</v>
      </c>
      <c r="AK27" s="1">
        <f t="shared" si="2"/>
        <v>1</v>
      </c>
      <c r="AL27" s="1">
        <v>12</v>
      </c>
      <c r="AM27" s="30" t="s">
        <v>174</v>
      </c>
      <c r="AN27" s="1">
        <v>1</v>
      </c>
      <c r="AO27" s="4" t="s">
        <v>39</v>
      </c>
      <c r="AP27" s="13" t="s">
        <v>113</v>
      </c>
      <c r="AQ27" s="1">
        <v>24</v>
      </c>
      <c r="AR27" s="86" t="s">
        <v>829</v>
      </c>
      <c r="AS27" s="4" t="s">
        <v>39</v>
      </c>
      <c r="AW27" s="1">
        <v>24</v>
      </c>
      <c r="AX27" s="86" t="s">
        <v>853</v>
      </c>
      <c r="AY27" s="4" t="s">
        <v>852</v>
      </c>
      <c r="AZ27" t="s">
        <v>184</v>
      </c>
    </row>
    <row r="28" spans="1:52" x14ac:dyDescent="0.2">
      <c r="A28" s="117" t="s">
        <v>309</v>
      </c>
      <c r="B28" s="117"/>
      <c r="C28" s="117"/>
      <c r="D28" s="117"/>
      <c r="E28" s="5"/>
      <c r="F28" s="5"/>
      <c r="G28" s="5"/>
      <c r="H28">
        <v>3</v>
      </c>
      <c r="I28">
        <v>15</v>
      </c>
      <c r="L28" s="14"/>
      <c r="O28" s="78" t="s">
        <v>740</v>
      </c>
      <c r="P28" s="79"/>
      <c r="Q28" s="79"/>
      <c r="R28" s="79"/>
      <c r="S28" s="70" t="s">
        <v>113</v>
      </c>
      <c r="T28" s="80"/>
      <c r="V28" s="13" t="s">
        <v>176</v>
      </c>
      <c r="W28" s="1">
        <f>IF($B$2="Explorer",4,IF($B$4="Battleship",4,IF($B$4="Dreadnought",4,6)))</f>
        <v>4</v>
      </c>
      <c r="X28" s="1">
        <v>13</v>
      </c>
      <c r="Y28" s="30" t="s">
        <v>174</v>
      </c>
      <c r="Z28" s="1">
        <v>3</v>
      </c>
      <c r="AA28" s="4" t="s">
        <v>39</v>
      </c>
      <c r="AB28" s="13" t="s">
        <v>326</v>
      </c>
      <c r="AC28" s="13" t="s">
        <v>314</v>
      </c>
      <c r="AE28" s="17">
        <v>25</v>
      </c>
      <c r="AF28" s="2" t="s">
        <v>277</v>
      </c>
      <c r="AG28" s="2" t="s">
        <v>276</v>
      </c>
      <c r="AH28" s="2" t="s">
        <v>20</v>
      </c>
      <c r="AI28" s="13" t="s">
        <v>57</v>
      </c>
      <c r="AJ28" s="14" t="s">
        <v>787</v>
      </c>
      <c r="AK28" s="1">
        <f t="shared" si="2"/>
        <v>1</v>
      </c>
      <c r="AL28" s="1">
        <v>12</v>
      </c>
      <c r="AM28" s="30" t="s">
        <v>174</v>
      </c>
      <c r="AN28" s="1">
        <v>1</v>
      </c>
      <c r="AO28" s="4" t="s">
        <v>179</v>
      </c>
      <c r="AP28" s="13" t="s">
        <v>113</v>
      </c>
      <c r="AQ28" s="17">
        <v>25</v>
      </c>
      <c r="AR28" s="2" t="s">
        <v>830</v>
      </c>
      <c r="AS28" s="2" t="s">
        <v>20</v>
      </c>
      <c r="AW28" s="17">
        <v>25</v>
      </c>
      <c r="AX28" s="86" t="s">
        <v>853</v>
      </c>
      <c r="AY28" s="4" t="s">
        <v>852</v>
      </c>
      <c r="AZ28" t="s">
        <v>184</v>
      </c>
    </row>
    <row r="29" spans="1:52" x14ac:dyDescent="0.2">
      <c r="A29" s="92"/>
      <c r="B29" s="6"/>
      <c r="C29" s="6"/>
      <c r="D29" s="6"/>
      <c r="E29" s="6"/>
      <c r="F29" s="6"/>
      <c r="G29" s="6"/>
      <c r="H29">
        <v>4</v>
      </c>
      <c r="I29">
        <v>20</v>
      </c>
      <c r="L29" s="14"/>
      <c r="O29" s="74" t="s">
        <v>745</v>
      </c>
      <c r="P29" s="1">
        <f>IF($B$2="Cruiser",1,2)</f>
        <v>2</v>
      </c>
      <c r="Q29" s="1">
        <v>3</v>
      </c>
      <c r="R29" s="1">
        <v>2</v>
      </c>
      <c r="S29" s="38" t="s">
        <v>113</v>
      </c>
      <c r="T29" s="13" t="s">
        <v>321</v>
      </c>
      <c r="V29" s="13" t="s">
        <v>51</v>
      </c>
      <c r="W29" s="1">
        <f>IF($B$2="Explorer",6,IF($B$4="Battleship",6,IF($B$4="Dreadnought",6,8)))</f>
        <v>6</v>
      </c>
      <c r="X29" s="1">
        <v>14</v>
      </c>
      <c r="Y29" s="30" t="s">
        <v>174</v>
      </c>
      <c r="Z29" s="1">
        <v>3</v>
      </c>
      <c r="AA29" s="4" t="s">
        <v>39</v>
      </c>
      <c r="AB29" s="13" t="s">
        <v>324</v>
      </c>
      <c r="AC29" s="13" t="s">
        <v>314</v>
      </c>
      <c r="AE29" s="1">
        <v>26</v>
      </c>
      <c r="AF29" s="4" t="s">
        <v>277</v>
      </c>
      <c r="AG29" s="4" t="s">
        <v>276</v>
      </c>
      <c r="AH29" s="4" t="s">
        <v>20</v>
      </c>
      <c r="AI29" s="13" t="s">
        <v>57</v>
      </c>
      <c r="AJ29" s="14" t="s">
        <v>788</v>
      </c>
      <c r="AK29" s="1">
        <f t="shared" si="2"/>
        <v>1</v>
      </c>
      <c r="AL29" s="1">
        <v>12</v>
      </c>
      <c r="AM29" s="30" t="s">
        <v>174</v>
      </c>
      <c r="AN29" s="1">
        <v>1</v>
      </c>
      <c r="AO29" s="4" t="s">
        <v>20</v>
      </c>
      <c r="AP29" s="13" t="s">
        <v>113</v>
      </c>
      <c r="AQ29" s="1">
        <v>26</v>
      </c>
      <c r="AR29" s="86" t="s">
        <v>830</v>
      </c>
      <c r="AS29" s="4" t="s">
        <v>20</v>
      </c>
      <c r="AW29" s="1">
        <v>26</v>
      </c>
      <c r="AX29" s="86" t="s">
        <v>853</v>
      </c>
      <c r="AY29" s="4" t="s">
        <v>852</v>
      </c>
      <c r="AZ29" t="s">
        <v>184</v>
      </c>
    </row>
    <row r="30" spans="1:52" x14ac:dyDescent="0.2">
      <c r="A30" s="121" t="s">
        <v>154</v>
      </c>
      <c r="B30" s="81" t="s">
        <v>258</v>
      </c>
      <c r="C30" s="6"/>
      <c r="D30" s="6"/>
      <c r="E30" s="6"/>
      <c r="F30" s="6"/>
      <c r="G30" s="6"/>
      <c r="H30">
        <v>5</v>
      </c>
      <c r="I30">
        <v>25</v>
      </c>
      <c r="L30" s="14"/>
      <c r="O30" s="73" t="s">
        <v>741</v>
      </c>
      <c r="P30" s="79"/>
      <c r="Q30" s="79"/>
      <c r="R30" s="79"/>
      <c r="S30" s="70" t="s">
        <v>113</v>
      </c>
      <c r="T30" s="80"/>
      <c r="V30" s="13" t="s">
        <v>46</v>
      </c>
      <c r="W30" s="1">
        <f>IF($B$2="Explorer",7,IF($B$4="Battleship",7,IF($B$4="Dreadnought",7,9)))</f>
        <v>7</v>
      </c>
      <c r="X30" s="1">
        <v>14</v>
      </c>
      <c r="Y30" s="30" t="s">
        <v>174</v>
      </c>
      <c r="Z30" s="1">
        <v>4</v>
      </c>
      <c r="AA30" s="4" t="s">
        <v>20</v>
      </c>
      <c r="AB30" s="13" t="s">
        <v>323</v>
      </c>
      <c r="AC30" s="13" t="s">
        <v>314</v>
      </c>
      <c r="AE30" s="1">
        <v>27</v>
      </c>
      <c r="AF30" s="4" t="s">
        <v>277</v>
      </c>
      <c r="AG30" s="4" t="s">
        <v>276</v>
      </c>
      <c r="AH30" s="4" t="s">
        <v>20</v>
      </c>
      <c r="AI30" s="13" t="s">
        <v>57</v>
      </c>
      <c r="AJ30" s="14" t="s">
        <v>789</v>
      </c>
      <c r="AK30" s="1">
        <f t="shared" si="2"/>
        <v>1</v>
      </c>
      <c r="AL30" s="1">
        <v>12</v>
      </c>
      <c r="AM30" s="30" t="s">
        <v>174</v>
      </c>
      <c r="AN30" s="1">
        <v>1</v>
      </c>
      <c r="AO30" s="4" t="s">
        <v>191</v>
      </c>
      <c r="AP30" s="13" t="s">
        <v>113</v>
      </c>
      <c r="AQ30" s="1">
        <v>27</v>
      </c>
      <c r="AR30" s="86" t="s">
        <v>830</v>
      </c>
      <c r="AS30" s="4" t="s">
        <v>20</v>
      </c>
      <c r="AW30" s="1">
        <v>27</v>
      </c>
      <c r="AX30" s="86" t="s">
        <v>853</v>
      </c>
      <c r="AY30" s="4" t="s">
        <v>852</v>
      </c>
      <c r="AZ30" t="s">
        <v>184</v>
      </c>
    </row>
    <row r="31" spans="1:52" x14ac:dyDescent="0.2">
      <c r="A31" s="121" t="s">
        <v>47</v>
      </c>
      <c r="B31" s="114">
        <f>VLOOKUP(B30,$K$49:$O$53,2,FALSE)</f>
        <v>0</v>
      </c>
      <c r="C31" s="6"/>
      <c r="D31" s="6"/>
      <c r="E31" s="6"/>
      <c r="F31" s="6"/>
      <c r="G31" s="6"/>
      <c r="H31">
        <v>6</v>
      </c>
      <c r="I31">
        <v>30</v>
      </c>
      <c r="L31" s="14"/>
      <c r="O31" s="74" t="s">
        <v>746</v>
      </c>
      <c r="P31" s="1">
        <f>IF($B$2="Cruiser",1,2)</f>
        <v>2</v>
      </c>
      <c r="Q31" s="1">
        <v>4</v>
      </c>
      <c r="R31" s="1">
        <v>3</v>
      </c>
      <c r="S31" s="38" t="s">
        <v>113</v>
      </c>
      <c r="T31" s="13" t="s">
        <v>321</v>
      </c>
      <c r="V31" s="13" t="s">
        <v>44</v>
      </c>
      <c r="W31" s="1">
        <f>IF($B$2="Explorer",7,IF($B$4="Battleship",7,IF($B$4="Dreadnought",7,9)))</f>
        <v>7</v>
      </c>
      <c r="X31" s="1">
        <v>15</v>
      </c>
      <c r="Y31" s="30" t="s">
        <v>174</v>
      </c>
      <c r="Z31" s="1">
        <v>3</v>
      </c>
      <c r="AA31" s="4" t="s">
        <v>20</v>
      </c>
      <c r="AB31" s="13" t="s">
        <v>320</v>
      </c>
      <c r="AC31" s="13" t="s">
        <v>314</v>
      </c>
      <c r="AE31" s="1">
        <v>28</v>
      </c>
      <c r="AF31" s="4" t="s">
        <v>277</v>
      </c>
      <c r="AG31" s="4" t="s">
        <v>276</v>
      </c>
      <c r="AH31" s="4" t="s">
        <v>20</v>
      </c>
      <c r="AJ31" s="14" t="s">
        <v>568</v>
      </c>
      <c r="AK31" s="1"/>
      <c r="AL31" s="1"/>
      <c r="AM31" s="1"/>
      <c r="AN31" s="1"/>
      <c r="AO31" s="1"/>
      <c r="AP31" s="13" t="s">
        <v>113</v>
      </c>
      <c r="AQ31" s="1">
        <v>28</v>
      </c>
      <c r="AR31" s="86" t="s">
        <v>830</v>
      </c>
      <c r="AS31" s="4" t="s">
        <v>20</v>
      </c>
      <c r="AW31" s="1">
        <v>28</v>
      </c>
      <c r="AX31" s="86" t="s">
        <v>853</v>
      </c>
      <c r="AY31" s="4" t="s">
        <v>852</v>
      </c>
      <c r="AZ31" t="s">
        <v>184</v>
      </c>
    </row>
    <row r="32" spans="1:52" x14ac:dyDescent="0.2">
      <c r="A32" s="121" t="s">
        <v>261</v>
      </c>
      <c r="B32" s="114">
        <f>VLOOKUP(B30,$K$49:$O$53,3,FALSE)</f>
        <v>0</v>
      </c>
      <c r="C32" s="6"/>
      <c r="D32" s="6"/>
      <c r="E32" s="6"/>
      <c r="F32" s="6"/>
      <c r="G32" s="6"/>
      <c r="H32">
        <v>7</v>
      </c>
      <c r="I32">
        <v>35</v>
      </c>
      <c r="L32" s="14"/>
      <c r="O32" s="73" t="s">
        <v>742</v>
      </c>
      <c r="P32" s="79"/>
      <c r="Q32" s="79"/>
      <c r="R32" s="79"/>
      <c r="S32" s="79"/>
      <c r="T32" s="80"/>
      <c r="V32" s="13" t="s">
        <v>41</v>
      </c>
      <c r="W32" s="1">
        <f>IF($B$2="Explorer",10,IF($B$4="Battleship",10,IF($B$4="Dreadnought",10,12)))</f>
        <v>10</v>
      </c>
      <c r="X32" s="1">
        <v>17</v>
      </c>
      <c r="Y32" s="30" t="s">
        <v>316</v>
      </c>
      <c r="Z32" s="1">
        <v>4</v>
      </c>
      <c r="AA32" s="4" t="s">
        <v>28</v>
      </c>
      <c r="AB32" s="13" t="s">
        <v>318</v>
      </c>
      <c r="AC32" s="13" t="s">
        <v>314</v>
      </c>
      <c r="AE32" s="1">
        <v>29</v>
      </c>
      <c r="AF32" s="4" t="s">
        <v>277</v>
      </c>
      <c r="AG32" s="4" t="s">
        <v>276</v>
      </c>
      <c r="AH32" s="4" t="s">
        <v>20</v>
      </c>
      <c r="AI32" s="13" t="s">
        <v>55</v>
      </c>
      <c r="AJ32" s="14" t="s">
        <v>790</v>
      </c>
      <c r="AK32" s="1">
        <f>IF($B$2="Explorer",2,IF($B$4="Battleship",2,IF($B$4="Dreadnought",2,4)))</f>
        <v>2</v>
      </c>
      <c r="AL32" s="1">
        <v>12</v>
      </c>
      <c r="AM32" s="30" t="s">
        <v>174</v>
      </c>
      <c r="AN32" s="1">
        <v>2</v>
      </c>
      <c r="AO32" s="4" t="s">
        <v>53</v>
      </c>
      <c r="AP32" s="13" t="s">
        <v>113</v>
      </c>
      <c r="AQ32" s="1">
        <v>29</v>
      </c>
      <c r="AR32" s="86" t="s">
        <v>830</v>
      </c>
      <c r="AS32" s="4" t="s">
        <v>20</v>
      </c>
      <c r="AW32" s="1">
        <v>29</v>
      </c>
      <c r="AX32" s="86" t="s">
        <v>853</v>
      </c>
      <c r="AY32" s="4" t="s">
        <v>852</v>
      </c>
      <c r="AZ32" t="s">
        <v>184</v>
      </c>
    </row>
    <row r="33" spans="1:52" x14ac:dyDescent="0.2">
      <c r="A33" s="121" t="s">
        <v>65</v>
      </c>
      <c r="B33" s="114" t="str">
        <f>VLOOKUP(B30,$K$49:$O$53,4,FALSE)</f>
        <v>A</v>
      </c>
      <c r="C33" s="6"/>
      <c r="D33" s="6"/>
      <c r="E33" s="6"/>
      <c r="F33" s="6"/>
      <c r="G33" s="6"/>
      <c r="H33">
        <v>8</v>
      </c>
      <c r="I33">
        <v>40</v>
      </c>
      <c r="L33" s="14"/>
      <c r="O33" s="74" t="s">
        <v>747</v>
      </c>
      <c r="P33" s="1">
        <f>IF($B$2="Cruiser",2,3)</f>
        <v>3</v>
      </c>
      <c r="Q33" s="1">
        <v>5</v>
      </c>
      <c r="R33" s="1">
        <v>2</v>
      </c>
      <c r="T33" s="13" t="s">
        <v>321</v>
      </c>
      <c r="V33" s="13" t="s">
        <v>26</v>
      </c>
      <c r="W33" s="1">
        <f>IF($B$2="Explorer",12,IF($B$4="Battleship",12,IF($B$4="Dreadnought",12,14)))</f>
        <v>12</v>
      </c>
      <c r="X33" s="1">
        <v>17</v>
      </c>
      <c r="Y33" s="30" t="s">
        <v>316</v>
      </c>
      <c r="Z33" s="1">
        <v>5</v>
      </c>
      <c r="AA33" s="4" t="s">
        <v>0</v>
      </c>
      <c r="AB33" s="13" t="s">
        <v>315</v>
      </c>
      <c r="AC33" s="13" t="s">
        <v>314</v>
      </c>
      <c r="AE33" s="1">
        <v>30</v>
      </c>
      <c r="AF33" s="4" t="s">
        <v>277</v>
      </c>
      <c r="AG33" s="4" t="s">
        <v>276</v>
      </c>
      <c r="AH33" s="4" t="s">
        <v>20</v>
      </c>
      <c r="AI33" s="13" t="s">
        <v>55</v>
      </c>
      <c r="AJ33" s="14" t="s">
        <v>791</v>
      </c>
      <c r="AK33" s="1">
        <f>IF($B$2="Explorer",2,IF($B$4="Battleship",2,IF($B$4="Dreadnought",2,4)))</f>
        <v>2</v>
      </c>
      <c r="AL33" s="1">
        <v>12</v>
      </c>
      <c r="AM33" s="30" t="s">
        <v>174</v>
      </c>
      <c r="AN33" s="1">
        <v>2</v>
      </c>
      <c r="AO33" s="4" t="s">
        <v>184</v>
      </c>
      <c r="AP33" s="13" t="s">
        <v>113</v>
      </c>
      <c r="AQ33" s="1">
        <v>30</v>
      </c>
      <c r="AR33" s="86" t="s">
        <v>830</v>
      </c>
      <c r="AS33" s="4" t="s">
        <v>20</v>
      </c>
      <c r="AW33" s="1">
        <v>30</v>
      </c>
      <c r="AX33" s="86" t="s">
        <v>853</v>
      </c>
      <c r="AY33" s="4" t="s">
        <v>852</v>
      </c>
      <c r="AZ33" t="s">
        <v>184</v>
      </c>
    </row>
    <row r="34" spans="1:52" x14ac:dyDescent="0.2">
      <c r="A34" s="121" t="s">
        <v>60</v>
      </c>
      <c r="B34" s="114">
        <f>VLOOKUP(B30,$K$49:$O$53,5,FALSE)</f>
        <v>0</v>
      </c>
      <c r="C34" s="6"/>
      <c r="D34" s="6"/>
      <c r="E34" s="6"/>
      <c r="F34" s="6"/>
      <c r="G34" s="6"/>
      <c r="H34">
        <v>9</v>
      </c>
      <c r="I34">
        <v>45</v>
      </c>
      <c r="L34" s="14"/>
      <c r="O34" s="73" t="s">
        <v>743</v>
      </c>
      <c r="P34" s="79"/>
      <c r="Q34" s="79"/>
      <c r="R34" s="79"/>
      <c r="S34" s="79"/>
      <c r="T34" s="79"/>
      <c r="AE34" s="1">
        <v>31</v>
      </c>
      <c r="AF34" s="4" t="s">
        <v>277</v>
      </c>
      <c r="AG34" s="4" t="s">
        <v>276</v>
      </c>
      <c r="AH34" s="4" t="s">
        <v>20</v>
      </c>
      <c r="AI34" s="13" t="s">
        <v>55</v>
      </c>
      <c r="AJ34" s="14" t="s">
        <v>792</v>
      </c>
      <c r="AK34" s="1">
        <f>IF($B$2="Explorer",2,IF($B$4="Battleship",2,IF($B$4="Dreadnought",2,4)))</f>
        <v>2</v>
      </c>
      <c r="AL34" s="1">
        <v>12</v>
      </c>
      <c r="AM34" s="30" t="s">
        <v>174</v>
      </c>
      <c r="AN34" s="1">
        <v>2</v>
      </c>
      <c r="AO34" s="4" t="s">
        <v>39</v>
      </c>
      <c r="AP34" s="13" t="s">
        <v>113</v>
      </c>
      <c r="AQ34" s="1">
        <v>31</v>
      </c>
      <c r="AR34" s="86" t="s">
        <v>830</v>
      </c>
      <c r="AS34" s="4" t="s">
        <v>20</v>
      </c>
      <c r="AW34" s="1">
        <v>31</v>
      </c>
      <c r="AX34" s="86" t="s">
        <v>312</v>
      </c>
      <c r="AY34" s="4" t="s">
        <v>312</v>
      </c>
      <c r="AZ34" t="s">
        <v>184</v>
      </c>
    </row>
    <row r="35" spans="1:52" x14ac:dyDescent="0.2">
      <c r="A35" s="92"/>
      <c r="B35" s="6"/>
      <c r="C35" s="6"/>
      <c r="D35" s="6"/>
      <c r="E35" s="6"/>
      <c r="F35" s="6"/>
      <c r="G35" s="6"/>
      <c r="H35">
        <v>10</v>
      </c>
      <c r="I35">
        <v>50</v>
      </c>
      <c r="L35" s="14"/>
      <c r="O35" s="68"/>
      <c r="P35" s="1">
        <f>IF($B$2="Cruiser",3,4)</f>
        <v>4</v>
      </c>
      <c r="Q35" s="1">
        <v>6</v>
      </c>
      <c r="R35" s="1">
        <v>3</v>
      </c>
      <c r="T35" s="13" t="s">
        <v>321</v>
      </c>
      <c r="AE35" s="1">
        <v>32</v>
      </c>
      <c r="AF35" s="4" t="s">
        <v>277</v>
      </c>
      <c r="AG35" s="4" t="s">
        <v>276</v>
      </c>
      <c r="AH35" s="4" t="s">
        <v>20</v>
      </c>
      <c r="AI35" s="13" t="s">
        <v>55</v>
      </c>
      <c r="AJ35" s="14" t="s">
        <v>793</v>
      </c>
      <c r="AK35" s="1">
        <f>IF($B$2="Explorer",2,IF($B$4="Battleship",2,IF($B$4="Dreadnought",2,4)))</f>
        <v>2</v>
      </c>
      <c r="AL35" s="1">
        <v>12</v>
      </c>
      <c r="AM35" s="30" t="s">
        <v>174</v>
      </c>
      <c r="AN35" s="1">
        <v>2</v>
      </c>
      <c r="AO35" s="4" t="s">
        <v>179</v>
      </c>
      <c r="AP35" s="13" t="s">
        <v>113</v>
      </c>
      <c r="AQ35" s="1">
        <v>32</v>
      </c>
      <c r="AR35" s="86" t="s">
        <v>830</v>
      </c>
      <c r="AS35" s="4" t="s">
        <v>20</v>
      </c>
      <c r="AW35" s="1">
        <v>32</v>
      </c>
      <c r="AX35" s="86" t="s">
        <v>312</v>
      </c>
      <c r="AY35" s="4" t="s">
        <v>312</v>
      </c>
      <c r="AZ35" t="s">
        <v>184</v>
      </c>
    </row>
    <row r="36" spans="1:52" x14ac:dyDescent="0.2">
      <c r="A36" s="117" t="s">
        <v>288</v>
      </c>
      <c r="B36" s="117"/>
      <c r="C36" s="117"/>
      <c r="D36" s="117"/>
      <c r="E36" s="5"/>
      <c r="F36" s="5"/>
      <c r="G36" s="5"/>
      <c r="H36">
        <v>11</v>
      </c>
      <c r="L36" s="14"/>
      <c r="O36" s="73" t="s">
        <v>855</v>
      </c>
      <c r="P36" s="111">
        <v>1</v>
      </c>
      <c r="Q36" s="111">
        <v>2</v>
      </c>
      <c r="R36" s="111">
        <v>0</v>
      </c>
      <c r="S36" s="112"/>
      <c r="T36" s="113" t="s">
        <v>321</v>
      </c>
      <c r="AE36" s="1">
        <v>33</v>
      </c>
      <c r="AF36" s="4" t="s">
        <v>277</v>
      </c>
      <c r="AG36" s="4" t="s">
        <v>276</v>
      </c>
      <c r="AH36" s="4" t="s">
        <v>20</v>
      </c>
      <c r="AJ36" s="14" t="s">
        <v>575</v>
      </c>
      <c r="AK36" s="1"/>
      <c r="AL36" s="1"/>
      <c r="AM36" s="1"/>
      <c r="AN36" s="1"/>
      <c r="AO36" s="1"/>
      <c r="AP36" s="13" t="s">
        <v>113</v>
      </c>
      <c r="AQ36" s="1">
        <v>33</v>
      </c>
      <c r="AR36" s="86" t="s">
        <v>830</v>
      </c>
      <c r="AS36" s="4" t="s">
        <v>20</v>
      </c>
      <c r="AW36" s="1">
        <v>33</v>
      </c>
      <c r="AX36" s="86" t="s">
        <v>312</v>
      </c>
      <c r="AY36" s="4" t="s">
        <v>312</v>
      </c>
      <c r="AZ36" t="s">
        <v>184</v>
      </c>
    </row>
    <row r="37" spans="1:52" x14ac:dyDescent="0.2">
      <c r="A37" s="92"/>
      <c r="B37" s="6"/>
      <c r="C37" s="6"/>
      <c r="D37" s="6"/>
      <c r="E37" s="6"/>
      <c r="F37" s="6"/>
      <c r="G37" s="6"/>
      <c r="H37">
        <v>12</v>
      </c>
      <c r="L37" s="14"/>
      <c r="AE37" s="1">
        <v>34</v>
      </c>
      <c r="AF37" s="4" t="s">
        <v>277</v>
      </c>
      <c r="AG37" s="4" t="s">
        <v>276</v>
      </c>
      <c r="AH37" s="4" t="s">
        <v>20</v>
      </c>
      <c r="AI37" s="36" t="s">
        <v>275</v>
      </c>
      <c r="AJ37" s="14" t="s">
        <v>794</v>
      </c>
      <c r="AK37" s="1">
        <f>IF($B$2="Explorer",3,IF($B$4="Battleship",3,IF($B$4="Dreadnought",3,5)))</f>
        <v>3</v>
      </c>
      <c r="AL37" s="1">
        <v>13</v>
      </c>
      <c r="AM37" s="1">
        <v>1</v>
      </c>
      <c r="AN37" s="1">
        <v>2</v>
      </c>
      <c r="AO37" s="4" t="s">
        <v>53</v>
      </c>
      <c r="AP37" s="13" t="s">
        <v>113</v>
      </c>
      <c r="AQ37" s="1">
        <v>34</v>
      </c>
      <c r="AR37" s="86" t="s">
        <v>830</v>
      </c>
      <c r="AS37" s="4" t="s">
        <v>20</v>
      </c>
      <c r="AW37" s="1">
        <v>34</v>
      </c>
      <c r="AX37" s="86" t="s">
        <v>312</v>
      </c>
      <c r="AY37" s="4" t="s">
        <v>312</v>
      </c>
      <c r="AZ37" t="s">
        <v>184</v>
      </c>
    </row>
    <row r="38" spans="1:52" x14ac:dyDescent="0.2">
      <c r="A38" s="121" t="s">
        <v>154</v>
      </c>
      <c r="B38" s="82" t="s">
        <v>10</v>
      </c>
      <c r="C38" s="92" t="s">
        <v>152</v>
      </c>
      <c r="D38" s="49"/>
      <c r="E38" s="6"/>
      <c r="F38" s="6"/>
      <c r="G38" s="6"/>
      <c r="H38">
        <v>13</v>
      </c>
      <c r="N38" t="s">
        <v>875</v>
      </c>
      <c r="O38" s="31" t="s">
        <v>856</v>
      </c>
      <c r="P38" s="17"/>
      <c r="Q38" s="17"/>
      <c r="R38" s="17"/>
      <c r="S38" s="79"/>
      <c r="T38" s="79"/>
      <c r="AE38" s="17">
        <v>35</v>
      </c>
      <c r="AF38" s="2" t="s">
        <v>223</v>
      </c>
      <c r="AG38" s="2" t="s">
        <v>222</v>
      </c>
      <c r="AH38" s="2" t="s">
        <v>20</v>
      </c>
      <c r="AI38" s="36" t="s">
        <v>275</v>
      </c>
      <c r="AJ38" s="14" t="s">
        <v>795</v>
      </c>
      <c r="AK38" s="1">
        <f>IF($B$2="Explorer",3,IF($B$4="Battleship",3,IF($B$4="Dreadnought",3,5)))</f>
        <v>3</v>
      </c>
      <c r="AL38" s="1">
        <v>13</v>
      </c>
      <c r="AM38" s="1">
        <v>1</v>
      </c>
      <c r="AN38" s="1">
        <v>2</v>
      </c>
      <c r="AO38" s="4" t="s">
        <v>184</v>
      </c>
      <c r="AP38" s="13" t="s">
        <v>113</v>
      </c>
      <c r="AQ38" s="17">
        <v>35</v>
      </c>
      <c r="AR38" s="2" t="s">
        <v>831</v>
      </c>
      <c r="AS38" s="2" t="s">
        <v>20</v>
      </c>
      <c r="AW38" s="17">
        <v>35</v>
      </c>
      <c r="AX38" s="86" t="s">
        <v>312</v>
      </c>
      <c r="AY38" s="4" t="s">
        <v>312</v>
      </c>
      <c r="AZ38" t="s">
        <v>184</v>
      </c>
    </row>
    <row r="39" spans="1:52" x14ac:dyDescent="0.2">
      <c r="A39" s="121" t="s">
        <v>79</v>
      </c>
      <c r="B39" s="114">
        <f>IF(D38&gt;0,VLOOKUP(B38,$K$56:$P$65,2,FALSE)*D38,VLOOKUP(B38,$K$56:$P$65,2,FALSE))</f>
        <v>0</v>
      </c>
      <c r="C39" s="33"/>
      <c r="D39" s="15"/>
      <c r="E39" s="6"/>
      <c r="F39" s="6"/>
      <c r="G39" s="6"/>
      <c r="H39">
        <v>14</v>
      </c>
      <c r="K39" s="26" t="s">
        <v>305</v>
      </c>
      <c r="N39" t="s">
        <v>861</v>
      </c>
      <c r="O39" s="91" t="s">
        <v>859</v>
      </c>
      <c r="P39" s="1">
        <f>IF($B$2="Cruiser",1,2)</f>
        <v>2</v>
      </c>
      <c r="Q39" s="1">
        <v>1</v>
      </c>
      <c r="R39" s="1">
        <v>3</v>
      </c>
      <c r="T39" s="13" t="s">
        <v>321</v>
      </c>
      <c r="Y39" s="26" t="s">
        <v>303</v>
      </c>
      <c r="AE39" s="1">
        <v>36</v>
      </c>
      <c r="AF39" s="4" t="s">
        <v>223</v>
      </c>
      <c r="AG39" s="4" t="s">
        <v>222</v>
      </c>
      <c r="AH39" s="4" t="s">
        <v>20</v>
      </c>
      <c r="AI39" s="36" t="s">
        <v>275</v>
      </c>
      <c r="AJ39" s="14" t="s">
        <v>796</v>
      </c>
      <c r="AK39" s="1">
        <f>IF($B$2="Explorer",3,IF($B$4="Battleship",3,IF($B$4="Dreadnought",3,5)))</f>
        <v>3</v>
      </c>
      <c r="AL39" s="1">
        <v>13</v>
      </c>
      <c r="AM39" s="1">
        <v>1</v>
      </c>
      <c r="AN39" s="1">
        <v>2</v>
      </c>
      <c r="AO39" s="4" t="s">
        <v>39</v>
      </c>
      <c r="AP39" s="13" t="s">
        <v>113</v>
      </c>
      <c r="AQ39" s="1">
        <v>36</v>
      </c>
      <c r="AR39" s="86" t="s">
        <v>831</v>
      </c>
      <c r="AS39" s="4" t="s">
        <v>20</v>
      </c>
      <c r="AW39" s="1">
        <v>36</v>
      </c>
      <c r="AX39" s="86" t="s">
        <v>312</v>
      </c>
      <c r="AY39" s="4" t="s">
        <v>312</v>
      </c>
      <c r="AZ39" t="s">
        <v>184</v>
      </c>
    </row>
    <row r="40" spans="1:52" x14ac:dyDescent="0.2">
      <c r="A40" s="121" t="s">
        <v>938</v>
      </c>
      <c r="B40" s="114" t="str">
        <f>VLOOKUP(B38,$K$56:$P$65,3,FALSE)</f>
        <v>0</v>
      </c>
      <c r="C40" s="6"/>
      <c r="D40" s="15"/>
      <c r="E40" s="6"/>
      <c r="F40" s="6"/>
      <c r="G40" s="6"/>
      <c r="H40">
        <v>15</v>
      </c>
      <c r="K40" t="s">
        <v>154</v>
      </c>
      <c r="L40" s="14" t="s">
        <v>47</v>
      </c>
      <c r="M40" t="s">
        <v>65</v>
      </c>
      <c r="N40" s="36" t="s">
        <v>862</v>
      </c>
      <c r="O40" s="91" t="s">
        <v>860</v>
      </c>
      <c r="P40" s="1">
        <f>IF($B$2="Cruiser",1,2)</f>
        <v>2</v>
      </c>
      <c r="Q40" s="1">
        <v>2</v>
      </c>
      <c r="R40" s="1">
        <v>3</v>
      </c>
      <c r="T40" s="13" t="s">
        <v>321</v>
      </c>
      <c r="Y40" t="s">
        <v>154</v>
      </c>
      <c r="Z40" t="s">
        <v>47</v>
      </c>
      <c r="AA40" t="s">
        <v>297</v>
      </c>
      <c r="AB40" t="s">
        <v>215</v>
      </c>
      <c r="AC40" t="s">
        <v>296</v>
      </c>
      <c r="AE40" s="1">
        <v>37</v>
      </c>
      <c r="AF40" s="4" t="s">
        <v>223</v>
      </c>
      <c r="AG40" s="4" t="s">
        <v>222</v>
      </c>
      <c r="AH40" s="4" t="s">
        <v>20</v>
      </c>
      <c r="AJ40" s="14" t="s">
        <v>573</v>
      </c>
      <c r="AK40" s="1"/>
      <c r="AL40" s="1"/>
      <c r="AM40" s="1"/>
      <c r="AN40" s="1"/>
      <c r="AO40" s="1"/>
      <c r="AP40" s="13" t="s">
        <v>113</v>
      </c>
      <c r="AQ40" s="1">
        <v>37</v>
      </c>
      <c r="AR40" s="86" t="s">
        <v>831</v>
      </c>
      <c r="AS40" s="4" t="s">
        <v>20</v>
      </c>
      <c r="AW40" s="1">
        <v>37</v>
      </c>
      <c r="AX40" s="86" t="s">
        <v>312</v>
      </c>
      <c r="AY40" s="4" t="s">
        <v>312</v>
      </c>
      <c r="AZ40" t="s">
        <v>184</v>
      </c>
    </row>
    <row r="41" spans="1:52" x14ac:dyDescent="0.2">
      <c r="A41" s="121" t="s">
        <v>215</v>
      </c>
      <c r="B41" s="114">
        <f>IF(D38&gt;=2,VLOOKUP(B38,$K$56:$P$65,4,FALSE)+D38-1,VLOOKUP(B38,$K$56:$P$65,4,FALSE))</f>
        <v>0</v>
      </c>
      <c r="C41" s="9" t="str">
        <f>IF(B41&lt;B5,"Impulse System Too Small for Size","Impulse System Meets Max. Ship Size Restriction")</f>
        <v>Impulse System Too Small for Size</v>
      </c>
      <c r="D41" s="114"/>
      <c r="E41" s="6"/>
      <c r="F41" s="6"/>
      <c r="G41" s="6"/>
      <c r="H41">
        <v>16</v>
      </c>
      <c r="K41" t="s">
        <v>258</v>
      </c>
      <c r="L41" s="16" t="s">
        <v>208</v>
      </c>
      <c r="M41" s="1" t="s">
        <v>294</v>
      </c>
      <c r="N41" s="36"/>
      <c r="R41" s="26" t="s">
        <v>304</v>
      </c>
      <c r="Y41" t="s">
        <v>10</v>
      </c>
      <c r="Z41" s="1">
        <v>0</v>
      </c>
      <c r="AA41" s="1">
        <v>0</v>
      </c>
      <c r="AB41" s="1">
        <v>0</v>
      </c>
      <c r="AE41" s="1">
        <v>38</v>
      </c>
      <c r="AF41" s="4" t="s">
        <v>223</v>
      </c>
      <c r="AG41" s="4" t="s">
        <v>222</v>
      </c>
      <c r="AH41" s="4" t="s">
        <v>20</v>
      </c>
      <c r="AI41" s="13" t="s">
        <v>176</v>
      </c>
      <c r="AJ41" s="14" t="s">
        <v>797</v>
      </c>
      <c r="AK41" s="1">
        <f>IF($B$2="Explorer",4,IF($B$4="Battleship",4,IF($B$4="Dreadnought",4,6)))</f>
        <v>4</v>
      </c>
      <c r="AL41" s="1">
        <v>13</v>
      </c>
      <c r="AM41" s="30" t="s">
        <v>174</v>
      </c>
      <c r="AN41" s="1">
        <v>3</v>
      </c>
      <c r="AO41" s="4" t="s">
        <v>53</v>
      </c>
      <c r="AP41" s="13" t="s">
        <v>113</v>
      </c>
      <c r="AQ41" s="1">
        <v>38</v>
      </c>
      <c r="AR41" s="86" t="s">
        <v>831</v>
      </c>
      <c r="AS41" s="4" t="s">
        <v>20</v>
      </c>
      <c r="AW41" s="1">
        <v>38</v>
      </c>
      <c r="AX41" s="86" t="s">
        <v>312</v>
      </c>
      <c r="AY41" s="4" t="s">
        <v>312</v>
      </c>
      <c r="AZ41" t="s">
        <v>184</v>
      </c>
    </row>
    <row r="42" spans="1:52" x14ac:dyDescent="0.2">
      <c r="A42" s="121" t="s">
        <v>65</v>
      </c>
      <c r="B42" s="114" t="str">
        <f>VLOOKUP(B38,$K$56:$P$65,5,FALSE)</f>
        <v xml:space="preserve"> </v>
      </c>
      <c r="C42" s="6"/>
      <c r="D42" s="15"/>
      <c r="E42" s="6"/>
      <c r="F42" s="6"/>
      <c r="G42" s="6"/>
      <c r="H42">
        <v>17</v>
      </c>
      <c r="K42" t="s">
        <v>871</v>
      </c>
      <c r="L42" s="1">
        <f>ROUNDDOWN(1+(B5/2),0)</f>
        <v>1</v>
      </c>
      <c r="M42" s="1" t="s">
        <v>292</v>
      </c>
      <c r="N42" s="13"/>
      <c r="R42" t="s">
        <v>301</v>
      </c>
      <c r="S42" t="s">
        <v>300</v>
      </c>
      <c r="T42" t="s">
        <v>139</v>
      </c>
      <c r="U42" t="s">
        <v>299</v>
      </c>
      <c r="V42" t="s">
        <v>298</v>
      </c>
      <c r="Y42" t="s">
        <v>890</v>
      </c>
      <c r="Z42" s="1">
        <f>IF($B$2="Scout",($B$5-1),IF($B$2="Frigate",($B$5-1),$B$5))</f>
        <v>1</v>
      </c>
      <c r="AA42" s="1">
        <v>16</v>
      </c>
      <c r="AB42" s="1">
        <v>5</v>
      </c>
      <c r="AC42" s="13" t="s">
        <v>113</v>
      </c>
      <c r="AD42" s="13" t="s">
        <v>267</v>
      </c>
      <c r="AE42" s="1">
        <v>39</v>
      </c>
      <c r="AF42" s="4" t="s">
        <v>223</v>
      </c>
      <c r="AG42" s="4" t="s">
        <v>222</v>
      </c>
      <c r="AH42" s="4" t="s">
        <v>20</v>
      </c>
      <c r="AI42" s="13" t="s">
        <v>176</v>
      </c>
      <c r="AJ42" s="14" t="s">
        <v>798</v>
      </c>
      <c r="AK42" s="1">
        <f>IF($B$2="Explorer",4,IF($B$4="Battleship",4,IF($B$4="Dreadnought",4,6)))</f>
        <v>4</v>
      </c>
      <c r="AL42" s="1">
        <v>13</v>
      </c>
      <c r="AM42" s="30" t="s">
        <v>174</v>
      </c>
      <c r="AN42" s="1">
        <v>3</v>
      </c>
      <c r="AO42" s="4" t="s">
        <v>184</v>
      </c>
      <c r="AP42" s="13" t="s">
        <v>113</v>
      </c>
      <c r="AQ42" s="1">
        <v>39</v>
      </c>
      <c r="AR42" s="86" t="s">
        <v>831</v>
      </c>
      <c r="AS42" s="4" t="s">
        <v>20</v>
      </c>
      <c r="AW42" s="1">
        <v>39</v>
      </c>
      <c r="AX42" s="86" t="s">
        <v>312</v>
      </c>
      <c r="AY42" s="4" t="s">
        <v>312</v>
      </c>
      <c r="AZ42" t="s">
        <v>184</v>
      </c>
    </row>
    <row r="43" spans="1:52" x14ac:dyDescent="0.2">
      <c r="A43" s="121" t="s">
        <v>60</v>
      </c>
      <c r="B43" s="114" t="str">
        <f>VLOOKUP(B38,$K$56:$P$65,6,FALSE)</f>
        <v xml:space="preserve"> </v>
      </c>
      <c r="C43" s="6"/>
      <c r="D43" s="15"/>
      <c r="E43" s="6"/>
      <c r="F43" s="6"/>
      <c r="G43" s="6"/>
      <c r="H43">
        <v>18</v>
      </c>
      <c r="K43" t="s">
        <v>874</v>
      </c>
      <c r="L43" s="1">
        <f>ROUNDDOWN(2+(B5/2),0)</f>
        <v>2</v>
      </c>
      <c r="M43" s="1" t="s">
        <v>287</v>
      </c>
      <c r="N43" s="13"/>
      <c r="R43" t="s">
        <v>293</v>
      </c>
      <c r="S43" s="1"/>
      <c r="T43" s="1"/>
      <c r="U43" s="1"/>
      <c r="V43" s="1"/>
      <c r="Y43" t="s">
        <v>891</v>
      </c>
      <c r="Z43" s="1">
        <f>IF($B$2="Scout",($B$5),IF($B$2="Frigate",($B$5),$B$5+1))</f>
        <v>2</v>
      </c>
      <c r="AA43" s="1">
        <v>18</v>
      </c>
      <c r="AB43" s="1">
        <v>8</v>
      </c>
      <c r="AC43" s="13" t="s">
        <v>113</v>
      </c>
      <c r="AD43" t="s">
        <v>267</v>
      </c>
      <c r="AE43" s="1">
        <v>40</v>
      </c>
      <c r="AF43" s="4" t="s">
        <v>223</v>
      </c>
      <c r="AG43" s="4" t="s">
        <v>222</v>
      </c>
      <c r="AH43" s="4" t="s">
        <v>20</v>
      </c>
      <c r="AI43" s="13" t="s">
        <v>176</v>
      </c>
      <c r="AJ43" s="14" t="s">
        <v>799</v>
      </c>
      <c r="AK43" s="1">
        <f>IF($B$2="Explorer",4,IF($B$4="Battleship",4,IF($B$4="Dreadnought",4,6)))</f>
        <v>4</v>
      </c>
      <c r="AL43" s="1">
        <v>13</v>
      </c>
      <c r="AM43" s="30" t="s">
        <v>174</v>
      </c>
      <c r="AN43" s="1">
        <v>3</v>
      </c>
      <c r="AO43" s="4" t="s">
        <v>39</v>
      </c>
      <c r="AP43" s="13" t="s">
        <v>113</v>
      </c>
      <c r="AQ43" s="1">
        <v>40</v>
      </c>
      <c r="AR43" s="86" t="s">
        <v>831</v>
      </c>
      <c r="AS43" s="4" t="s">
        <v>20</v>
      </c>
      <c r="AW43" s="1">
        <v>40</v>
      </c>
      <c r="AX43" s="86" t="s">
        <v>312</v>
      </c>
      <c r="AY43" s="4" t="s">
        <v>312</v>
      </c>
      <c r="AZ43" t="s">
        <v>184</v>
      </c>
    </row>
    <row r="44" spans="1:52" x14ac:dyDescent="0.2">
      <c r="A44" s="92"/>
      <c r="B44" s="6"/>
      <c r="C44" s="6"/>
      <c r="D44" s="15"/>
      <c r="E44" s="6"/>
      <c r="F44" s="6"/>
      <c r="G44" s="6"/>
      <c r="H44">
        <v>19</v>
      </c>
      <c r="I44" s="25" t="s">
        <v>282</v>
      </c>
      <c r="K44" t="s">
        <v>872</v>
      </c>
      <c r="L44" s="1">
        <f>ROUNDDOWN(3+(B5/2),0)</f>
        <v>3</v>
      </c>
      <c r="M44" s="1" t="s">
        <v>281</v>
      </c>
      <c r="N44" s="13"/>
      <c r="R44" t="s">
        <v>291</v>
      </c>
      <c r="S44" s="1" t="s">
        <v>290</v>
      </c>
      <c r="T44" s="1">
        <v>9</v>
      </c>
      <c r="U44" s="1" t="s">
        <v>121</v>
      </c>
      <c r="V44" s="16" t="s">
        <v>284</v>
      </c>
      <c r="Y44" t="s">
        <v>892</v>
      </c>
      <c r="Z44" s="1">
        <f>IF($B$2="Scout",($B$5+1),IF($B$2="Frigate",($B$5+1),$B$5+2))</f>
        <v>3</v>
      </c>
      <c r="AA44" s="1">
        <v>20</v>
      </c>
      <c r="AB44" s="1">
        <v>10</v>
      </c>
      <c r="AC44" s="13" t="s">
        <v>278</v>
      </c>
      <c r="AD44" t="s">
        <v>267</v>
      </c>
      <c r="AE44" s="1">
        <v>41</v>
      </c>
      <c r="AF44" s="4" t="s">
        <v>223</v>
      </c>
      <c r="AG44" s="4" t="s">
        <v>222</v>
      </c>
      <c r="AH44" s="4" t="s">
        <v>20</v>
      </c>
      <c r="AJ44" s="14" t="s">
        <v>572</v>
      </c>
      <c r="AK44" s="1"/>
      <c r="AL44" s="1"/>
      <c r="AM44" s="1"/>
      <c r="AN44" s="1"/>
      <c r="AO44" s="1"/>
      <c r="AP44" s="13" t="s">
        <v>113</v>
      </c>
      <c r="AQ44" s="1">
        <v>41</v>
      </c>
      <c r="AR44" s="86" t="s">
        <v>831</v>
      </c>
      <c r="AS44" s="4" t="s">
        <v>20</v>
      </c>
      <c r="AW44" s="1">
        <v>41</v>
      </c>
      <c r="AX44" s="86" t="s">
        <v>312</v>
      </c>
      <c r="AY44" s="4" t="s">
        <v>312</v>
      </c>
      <c r="AZ44" t="s">
        <v>184</v>
      </c>
    </row>
    <row r="45" spans="1:52" x14ac:dyDescent="0.2">
      <c r="A45" s="117" t="s">
        <v>241</v>
      </c>
      <c r="B45" s="117"/>
      <c r="C45" s="117"/>
      <c r="D45" s="117"/>
      <c r="E45" s="5"/>
      <c r="F45" s="5"/>
      <c r="G45" s="5"/>
      <c r="H45">
        <v>20</v>
      </c>
      <c r="I45">
        <v>0</v>
      </c>
      <c r="K45" t="s">
        <v>873</v>
      </c>
      <c r="L45" s="1">
        <f>ROUNDDOWN(4+(B5/2),0)</f>
        <v>4</v>
      </c>
      <c r="M45" s="1" t="s">
        <v>273</v>
      </c>
      <c r="N45" s="13"/>
      <c r="R45" t="s">
        <v>286</v>
      </c>
      <c r="S45" s="1" t="s">
        <v>285</v>
      </c>
      <c r="T45" s="1">
        <v>7</v>
      </c>
      <c r="U45" s="1" t="s">
        <v>121</v>
      </c>
      <c r="V45" s="16" t="s">
        <v>284</v>
      </c>
      <c r="Y45" t="s">
        <v>46</v>
      </c>
      <c r="Z45" s="1">
        <f>IF($B$2="Scout",($B$5+3),IF($B$2="Frigate",($B$5+3),$B$5+4))</f>
        <v>5</v>
      </c>
      <c r="AA45" s="1">
        <v>22</v>
      </c>
      <c r="AB45" s="1">
        <v>8</v>
      </c>
      <c r="AC45" s="13" t="s">
        <v>270</v>
      </c>
      <c r="AD45" t="s">
        <v>267</v>
      </c>
      <c r="AE45" s="1">
        <v>42</v>
      </c>
      <c r="AF45" s="4" t="s">
        <v>223</v>
      </c>
      <c r="AG45" s="4" t="s">
        <v>222</v>
      </c>
      <c r="AH45" s="4" t="s">
        <v>20</v>
      </c>
      <c r="AI45" s="34" t="s">
        <v>250</v>
      </c>
      <c r="AJ45" s="35" t="s">
        <v>800</v>
      </c>
      <c r="AK45" s="1">
        <f t="shared" ref="AK45:AK50" si="3">IF($B$2="Explorer",1,IF($B$4="Battleship",1,IF($B$4="Dreadnought",1,2)))</f>
        <v>1</v>
      </c>
      <c r="AL45" s="1">
        <v>10</v>
      </c>
      <c r="AM45" s="1">
        <v>0</v>
      </c>
      <c r="AN45" s="1">
        <v>0</v>
      </c>
      <c r="AO45" s="16" t="s">
        <v>184</v>
      </c>
      <c r="AP45" s="13" t="s">
        <v>113</v>
      </c>
      <c r="AQ45" s="1">
        <v>42</v>
      </c>
      <c r="AR45" s="86" t="s">
        <v>831</v>
      </c>
      <c r="AS45" s="4" t="s">
        <v>20</v>
      </c>
      <c r="AW45" s="1">
        <v>42</v>
      </c>
      <c r="AX45" s="86" t="s">
        <v>312</v>
      </c>
      <c r="AY45" s="4" t="s">
        <v>312</v>
      </c>
      <c r="AZ45" t="s">
        <v>184</v>
      </c>
    </row>
    <row r="46" spans="1:52" x14ac:dyDescent="0.2">
      <c r="A46" s="121" t="s">
        <v>154</v>
      </c>
      <c r="B46" s="81" t="s">
        <v>10</v>
      </c>
      <c r="C46" s="92" t="s">
        <v>152</v>
      </c>
      <c r="D46" s="49"/>
      <c r="E46" s="6"/>
      <c r="F46" s="6"/>
      <c r="G46" s="6"/>
      <c r="H46">
        <v>21</v>
      </c>
      <c r="I46" t="str">
        <f>IF(($B$8-5)&gt;=5,5,"Min. 5 Space Needed")</f>
        <v>Min. 5 Space Needed</v>
      </c>
      <c r="R46" t="s">
        <v>280</v>
      </c>
      <c r="S46" s="1" t="s">
        <v>279</v>
      </c>
      <c r="T46" s="1">
        <v>2</v>
      </c>
      <c r="U46" s="1">
        <v>4</v>
      </c>
      <c r="V46" s="16" t="s">
        <v>69</v>
      </c>
      <c r="Y46" t="s">
        <v>44</v>
      </c>
      <c r="Z46" s="1">
        <f>IF($B$2="Scout",($B$5+5),IF($B$2="Frigate",($B$5+5),$B$5+6))</f>
        <v>7</v>
      </c>
      <c r="AA46" s="1">
        <v>24</v>
      </c>
      <c r="AB46" s="1">
        <v>10</v>
      </c>
      <c r="AC46" s="13" t="s">
        <v>268</v>
      </c>
      <c r="AD46" t="s">
        <v>267</v>
      </c>
      <c r="AE46" s="1">
        <v>43</v>
      </c>
      <c r="AF46" s="4" t="s">
        <v>223</v>
      </c>
      <c r="AG46" s="4" t="s">
        <v>222</v>
      </c>
      <c r="AH46" s="4" t="s">
        <v>20</v>
      </c>
      <c r="AI46" s="34" t="s">
        <v>243</v>
      </c>
      <c r="AJ46" s="14" t="s">
        <v>801</v>
      </c>
      <c r="AK46" s="1">
        <f t="shared" si="3"/>
        <v>1</v>
      </c>
      <c r="AL46" s="1">
        <v>10</v>
      </c>
      <c r="AM46" s="30" t="s">
        <v>208</v>
      </c>
      <c r="AN46" s="1">
        <v>1</v>
      </c>
      <c r="AO46" s="16" t="s">
        <v>39</v>
      </c>
      <c r="AP46" s="13" t="s">
        <v>113</v>
      </c>
      <c r="AQ46" s="1">
        <v>43</v>
      </c>
      <c r="AR46" s="86" t="s">
        <v>831</v>
      </c>
      <c r="AS46" s="4" t="s">
        <v>20</v>
      </c>
      <c r="AW46" s="1">
        <v>43</v>
      </c>
      <c r="AX46" s="86" t="s">
        <v>312</v>
      </c>
      <c r="AY46" s="4" t="s">
        <v>312</v>
      </c>
      <c r="AZ46" t="s">
        <v>184</v>
      </c>
    </row>
    <row r="47" spans="1:52" x14ac:dyDescent="0.2">
      <c r="A47" s="121" t="s">
        <v>47</v>
      </c>
      <c r="B47" s="114">
        <f>IF(D46&gt;1,VLOOKUP(B46,$K$80:$P$105,2,FALSE)*D46,VLOOKUP(B46,$K$80:$P$105,2,FALSE))</f>
        <v>0</v>
      </c>
      <c r="C47" s="33"/>
      <c r="D47" s="15"/>
      <c r="E47" s="6"/>
      <c r="F47" s="6"/>
      <c r="G47" s="6"/>
      <c r="H47">
        <v>22</v>
      </c>
      <c r="I47" t="str">
        <f>IF(($B$8-10)&gt;=5,10,"Min. 5 Space Needed")</f>
        <v>Min. 5 Space Needed</v>
      </c>
      <c r="K47" s="26" t="s">
        <v>265</v>
      </c>
      <c r="R47" t="s">
        <v>272</v>
      </c>
      <c r="S47" s="1" t="s">
        <v>271</v>
      </c>
      <c r="T47" s="1">
        <v>1</v>
      </c>
      <c r="U47" s="1">
        <v>2</v>
      </c>
      <c r="V47" s="16" t="s">
        <v>69</v>
      </c>
      <c r="AE47" s="1">
        <v>44</v>
      </c>
      <c r="AF47" s="4" t="s">
        <v>223</v>
      </c>
      <c r="AG47" s="4" t="s">
        <v>222</v>
      </c>
      <c r="AH47" s="4" t="s">
        <v>20</v>
      </c>
      <c r="AI47" s="34" t="s">
        <v>235</v>
      </c>
      <c r="AJ47" s="14" t="s">
        <v>802</v>
      </c>
      <c r="AK47" s="1">
        <f t="shared" si="3"/>
        <v>1</v>
      </c>
      <c r="AL47" s="1">
        <v>11</v>
      </c>
      <c r="AM47" s="30" t="s">
        <v>208</v>
      </c>
      <c r="AN47" s="1">
        <v>1</v>
      </c>
      <c r="AO47" s="16" t="s">
        <v>179</v>
      </c>
      <c r="AP47" s="13" t="s">
        <v>113</v>
      </c>
      <c r="AQ47" s="1">
        <v>44</v>
      </c>
      <c r="AR47" s="86" t="s">
        <v>831</v>
      </c>
      <c r="AS47" s="4" t="s">
        <v>20</v>
      </c>
      <c r="AW47" s="1">
        <v>44</v>
      </c>
      <c r="AX47" s="86" t="s">
        <v>312</v>
      </c>
      <c r="AY47" s="4" t="s">
        <v>312</v>
      </c>
      <c r="AZ47" t="s">
        <v>184</v>
      </c>
    </row>
    <row r="48" spans="1:52" x14ac:dyDescent="0.2">
      <c r="A48" s="121" t="s">
        <v>938</v>
      </c>
      <c r="B48" s="114">
        <f>VLOOKUP(B46,$K$80:$P$105,3,FALSE)</f>
        <v>0</v>
      </c>
      <c r="C48" s="6"/>
      <c r="D48" s="15"/>
      <c r="E48" s="6"/>
      <c r="F48" s="6"/>
      <c r="G48" s="6"/>
      <c r="H48">
        <v>23</v>
      </c>
      <c r="I48" t="str">
        <f>IF(($B$8-15)&gt;=5,15,"Min. 5 Space Needed")</f>
        <v>Min. 5 Space Needed</v>
      </c>
      <c r="K48" t="s">
        <v>154</v>
      </c>
      <c r="L48" t="s">
        <v>47</v>
      </c>
      <c r="M48" t="s">
        <v>261</v>
      </c>
      <c r="N48" t="s">
        <v>65</v>
      </c>
      <c r="O48" t="s">
        <v>60</v>
      </c>
      <c r="R48" t="s">
        <v>269</v>
      </c>
      <c r="S48" s="1"/>
      <c r="T48" s="1"/>
      <c r="U48" s="1"/>
      <c r="V48" s="16"/>
      <c r="AE48" s="17">
        <v>45</v>
      </c>
      <c r="AF48" s="2" t="s">
        <v>162</v>
      </c>
      <c r="AG48" s="2" t="s">
        <v>161</v>
      </c>
      <c r="AH48" s="2" t="s">
        <v>28</v>
      </c>
      <c r="AI48" s="14" t="s">
        <v>57</v>
      </c>
      <c r="AJ48" s="14" t="s">
        <v>803</v>
      </c>
      <c r="AK48" s="1">
        <f t="shared" si="3"/>
        <v>1</v>
      </c>
      <c r="AL48" s="1">
        <v>12</v>
      </c>
      <c r="AM48" s="30" t="s">
        <v>174</v>
      </c>
      <c r="AN48" s="1">
        <v>1</v>
      </c>
      <c r="AO48" s="16" t="s">
        <v>20</v>
      </c>
      <c r="AP48" s="13" t="s">
        <v>113</v>
      </c>
      <c r="AQ48" s="17">
        <v>45</v>
      </c>
      <c r="AR48" s="2" t="s">
        <v>832</v>
      </c>
      <c r="AS48" s="2" t="s">
        <v>28</v>
      </c>
      <c r="AW48" s="17">
        <v>45</v>
      </c>
      <c r="AX48" s="86" t="s">
        <v>312</v>
      </c>
      <c r="AY48" s="4" t="s">
        <v>312</v>
      </c>
      <c r="AZ48" t="s">
        <v>184</v>
      </c>
    </row>
    <row r="49" spans="1:52" x14ac:dyDescent="0.2">
      <c r="A49" s="121" t="s">
        <v>215</v>
      </c>
      <c r="B49" s="114">
        <f>IF(D46&gt;=2,VLOOKUP(B46,$K$80:$P$105,4,FALSE)+D46-1,VLOOKUP(B46,$K$80:$P$105,4,FALSE))</f>
        <v>0</v>
      </c>
      <c r="C49" s="97" t="str">
        <f>IF(B49&lt;B5,"Warp System Too Small for Size",IF(B49=0,0,"Warp System Meets Max. Ship Size Restriction"))</f>
        <v>Warp System Too Small for Size</v>
      </c>
      <c r="D49" s="114"/>
      <c r="E49" s="6"/>
      <c r="F49" s="6"/>
      <c r="G49" s="6"/>
      <c r="H49">
        <v>24</v>
      </c>
      <c r="I49" t="str">
        <f>IF(($B$8-20)&gt;=5,20,"Min. 5 Space Needed")</f>
        <v>Min. 5 Space Needed</v>
      </c>
      <c r="K49" t="s">
        <v>258</v>
      </c>
      <c r="L49" s="1">
        <v>0</v>
      </c>
      <c r="M49" s="1">
        <v>0</v>
      </c>
      <c r="N49" t="s">
        <v>53</v>
      </c>
      <c r="R49" t="s">
        <v>264</v>
      </c>
      <c r="S49" s="1" t="s">
        <v>263</v>
      </c>
      <c r="T49" s="1">
        <v>7</v>
      </c>
      <c r="U49" s="1" t="s">
        <v>121</v>
      </c>
      <c r="V49" s="16" t="s">
        <v>255</v>
      </c>
      <c r="Y49" s="103" t="s">
        <v>876</v>
      </c>
      <c r="AE49" s="1">
        <v>46</v>
      </c>
      <c r="AF49" s="4" t="s">
        <v>162</v>
      </c>
      <c r="AG49" s="4" t="s">
        <v>161</v>
      </c>
      <c r="AH49" s="4" t="s">
        <v>28</v>
      </c>
      <c r="AI49" s="14" t="s">
        <v>57</v>
      </c>
      <c r="AJ49" s="14" t="s">
        <v>804</v>
      </c>
      <c r="AK49" s="1">
        <f t="shared" si="3"/>
        <v>1</v>
      </c>
      <c r="AL49" s="1">
        <v>12</v>
      </c>
      <c r="AM49" s="30" t="s">
        <v>174</v>
      </c>
      <c r="AN49" s="1">
        <v>1</v>
      </c>
      <c r="AO49" s="16" t="s">
        <v>191</v>
      </c>
      <c r="AP49" s="13" t="s">
        <v>113</v>
      </c>
      <c r="AQ49" s="1">
        <v>46</v>
      </c>
      <c r="AR49" s="86" t="s">
        <v>832</v>
      </c>
      <c r="AS49" s="4" t="s">
        <v>28</v>
      </c>
      <c r="AW49" s="1">
        <v>46</v>
      </c>
      <c r="AX49" s="86" t="s">
        <v>312</v>
      </c>
      <c r="AY49" s="4" t="s">
        <v>312</v>
      </c>
      <c r="AZ49" t="s">
        <v>184</v>
      </c>
    </row>
    <row r="50" spans="1:52" x14ac:dyDescent="0.2">
      <c r="A50" s="121" t="s">
        <v>65</v>
      </c>
      <c r="B50" s="114" t="str">
        <f>VLOOKUP($B$46,$K$80:$P$105,5,FALSE)</f>
        <v xml:space="preserve"> </v>
      </c>
      <c r="C50" s="6"/>
      <c r="D50" s="15"/>
      <c r="E50" s="6"/>
      <c r="F50" s="6"/>
      <c r="G50" s="6"/>
      <c r="H50">
        <v>25</v>
      </c>
      <c r="I50" t="str">
        <f>IF(($B$8-25)&gt;=5,25,"Min. 5 Space Needed")</f>
        <v>Min. 5 Space Needed</v>
      </c>
      <c r="K50" t="s">
        <v>57</v>
      </c>
      <c r="L50" s="1">
        <f>IF($B$2="Scout",0,1)</f>
        <v>1</v>
      </c>
      <c r="M50" s="16" t="s">
        <v>254</v>
      </c>
      <c r="N50" t="s">
        <v>39</v>
      </c>
      <c r="O50" t="s">
        <v>253</v>
      </c>
      <c r="R50" t="s">
        <v>149</v>
      </c>
      <c r="S50" s="1" t="s">
        <v>260</v>
      </c>
      <c r="T50" s="1">
        <v>9</v>
      </c>
      <c r="U50" s="1" t="s">
        <v>121</v>
      </c>
      <c r="V50" s="16" t="s">
        <v>255</v>
      </c>
      <c r="Y50" s="13" t="s">
        <v>251</v>
      </c>
      <c r="AE50" s="1">
        <v>47</v>
      </c>
      <c r="AF50" s="4" t="s">
        <v>162</v>
      </c>
      <c r="AG50" s="4" t="s">
        <v>161</v>
      </c>
      <c r="AH50" s="4" t="s">
        <v>28</v>
      </c>
      <c r="AI50" s="14" t="s">
        <v>57</v>
      </c>
      <c r="AJ50" s="14" t="s">
        <v>805</v>
      </c>
      <c r="AK50" s="1">
        <f t="shared" si="3"/>
        <v>1</v>
      </c>
      <c r="AL50" s="1">
        <v>12</v>
      </c>
      <c r="AM50" s="30" t="s">
        <v>174</v>
      </c>
      <c r="AN50" s="1">
        <v>1</v>
      </c>
      <c r="AO50" s="16" t="s">
        <v>28</v>
      </c>
      <c r="AP50" s="13" t="s">
        <v>113</v>
      </c>
      <c r="AQ50" s="1">
        <v>47</v>
      </c>
      <c r="AR50" s="86" t="s">
        <v>832</v>
      </c>
      <c r="AS50" s="4" t="s">
        <v>28</v>
      </c>
      <c r="AW50" s="1">
        <v>47</v>
      </c>
      <c r="AX50" s="86" t="s">
        <v>312</v>
      </c>
      <c r="AY50" s="4" t="s">
        <v>312</v>
      </c>
      <c r="AZ50" t="s">
        <v>184</v>
      </c>
    </row>
    <row r="51" spans="1:52" x14ac:dyDescent="0.2">
      <c r="A51" s="121" t="s">
        <v>60</v>
      </c>
      <c r="B51" s="114" t="str">
        <f>VLOOKUP(B46,$K$80:$P$105,6,FALSE)</f>
        <v xml:space="preserve"> </v>
      </c>
      <c r="C51" s="6"/>
      <c r="D51" s="15"/>
      <c r="E51" s="6"/>
      <c r="F51" s="6"/>
      <c r="G51" s="6"/>
      <c r="H51">
        <v>26</v>
      </c>
      <c r="I51" t="str">
        <f>IF(($B$8-30)&gt;=5,30,"Min. 5 Space Needed")</f>
        <v>Min. 5 Space Needed</v>
      </c>
      <c r="K51" t="s">
        <v>55</v>
      </c>
      <c r="L51" s="1">
        <f>IF($B$2="Scout",1,2)</f>
        <v>2</v>
      </c>
      <c r="M51" s="16" t="s">
        <v>248</v>
      </c>
      <c r="N51" t="s">
        <v>20</v>
      </c>
      <c r="O51" t="s">
        <v>247</v>
      </c>
      <c r="R51" t="s">
        <v>257</v>
      </c>
      <c r="S51" s="1" t="s">
        <v>256</v>
      </c>
      <c r="T51" s="1">
        <v>6</v>
      </c>
      <c r="U51" s="1">
        <v>9</v>
      </c>
      <c r="V51" s="16" t="s">
        <v>255</v>
      </c>
      <c r="Y51" s="13" t="s">
        <v>244</v>
      </c>
      <c r="AE51" s="1">
        <v>48</v>
      </c>
      <c r="AF51" s="4" t="s">
        <v>162</v>
      </c>
      <c r="AG51" s="4" t="s">
        <v>161</v>
      </c>
      <c r="AH51" s="4" t="s">
        <v>28</v>
      </c>
      <c r="AJ51" s="14" t="s">
        <v>568</v>
      </c>
      <c r="AK51" s="1"/>
      <c r="AL51" s="1"/>
      <c r="AM51" s="1"/>
      <c r="AN51" s="1"/>
      <c r="AO51" s="1"/>
      <c r="AP51" s="13" t="s">
        <v>113</v>
      </c>
      <c r="AQ51" s="1">
        <v>48</v>
      </c>
      <c r="AR51" s="86" t="s">
        <v>832</v>
      </c>
      <c r="AS51" s="4" t="s">
        <v>28</v>
      </c>
      <c r="AW51" s="1">
        <v>48</v>
      </c>
      <c r="AX51" s="86" t="s">
        <v>312</v>
      </c>
      <c r="AY51" s="4" t="s">
        <v>312</v>
      </c>
      <c r="AZ51" t="s">
        <v>184</v>
      </c>
    </row>
    <row r="52" spans="1:52" x14ac:dyDescent="0.2">
      <c r="A52" s="92"/>
      <c r="B52" s="6"/>
      <c r="C52" s="6"/>
      <c r="D52" s="15"/>
      <c r="E52" s="6"/>
      <c r="F52" s="6"/>
      <c r="G52" s="6"/>
      <c r="H52">
        <v>27</v>
      </c>
      <c r="I52" t="str">
        <f>IF(($B$8-35)&gt;=5,35,"Min. 5 Space Needed")</f>
        <v>Min. 5 Space Needed</v>
      </c>
      <c r="K52" t="s">
        <v>51</v>
      </c>
      <c r="L52" s="1">
        <f>IF($B$2="Scout",1,3)</f>
        <v>3</v>
      </c>
      <c r="M52" s="16" t="s">
        <v>240</v>
      </c>
      <c r="N52" t="s">
        <v>28</v>
      </c>
      <c r="O52" t="s">
        <v>239</v>
      </c>
      <c r="R52" t="s">
        <v>252</v>
      </c>
      <c r="S52" s="1"/>
      <c r="T52" s="1"/>
      <c r="U52" s="1"/>
      <c r="V52" s="16"/>
      <c r="Y52" s="13" t="s">
        <v>236</v>
      </c>
      <c r="AE52" s="1">
        <v>49</v>
      </c>
      <c r="AF52" s="4" t="s">
        <v>162</v>
      </c>
      <c r="AG52" s="4" t="s">
        <v>161</v>
      </c>
      <c r="AH52" s="4" t="s">
        <v>28</v>
      </c>
      <c r="AI52" s="14" t="s">
        <v>235</v>
      </c>
      <c r="AJ52" s="14" t="s">
        <v>806</v>
      </c>
      <c r="AK52" s="1">
        <f>IF($B$2="Explorer",1,IF($B$4="Battleship",1,IF($B$4="Dreadnought",1,2)))</f>
        <v>1</v>
      </c>
      <c r="AL52" s="1">
        <v>11</v>
      </c>
      <c r="AM52" s="30" t="s">
        <v>208</v>
      </c>
      <c r="AN52" s="1">
        <v>1</v>
      </c>
      <c r="AO52" s="16" t="s">
        <v>184</v>
      </c>
      <c r="AP52" s="13" t="s">
        <v>113</v>
      </c>
      <c r="AQ52" s="1">
        <v>49</v>
      </c>
      <c r="AR52" s="86" t="s">
        <v>832</v>
      </c>
      <c r="AS52" s="4" t="s">
        <v>28</v>
      </c>
      <c r="AW52" s="1">
        <v>49</v>
      </c>
      <c r="AX52" s="86" t="s">
        <v>312</v>
      </c>
      <c r="AY52" s="4" t="s">
        <v>312</v>
      </c>
      <c r="AZ52" t="s">
        <v>184</v>
      </c>
    </row>
    <row r="53" spans="1:52" x14ac:dyDescent="0.2">
      <c r="A53" s="117" t="s">
        <v>878</v>
      </c>
      <c r="B53" s="117"/>
      <c r="C53" s="117"/>
      <c r="D53" s="117"/>
      <c r="E53" s="5"/>
      <c r="F53" s="5"/>
      <c r="G53" s="5"/>
      <c r="H53">
        <v>28</v>
      </c>
      <c r="I53" t="str">
        <f>IF(($B$8-40)&gt;=5,40,"Min. 5 Space Needed")</f>
        <v>Min. 5 Space Needed</v>
      </c>
      <c r="K53" t="s">
        <v>46</v>
      </c>
      <c r="L53" s="1">
        <f>IF($B$2="Scout",2,4)</f>
        <v>4</v>
      </c>
      <c r="M53" s="16" t="s">
        <v>233</v>
      </c>
      <c r="N53" t="s">
        <v>0</v>
      </c>
      <c r="O53" t="s">
        <v>232</v>
      </c>
      <c r="R53" t="s">
        <v>246</v>
      </c>
      <c r="S53" s="1" t="s">
        <v>245</v>
      </c>
      <c r="T53" s="1">
        <v>5</v>
      </c>
      <c r="U53" s="1">
        <v>8</v>
      </c>
      <c r="V53" s="16" t="s">
        <v>218</v>
      </c>
      <c r="Y53" s="13" t="s">
        <v>229</v>
      </c>
      <c r="AE53" s="1">
        <v>50</v>
      </c>
      <c r="AF53" s="4" t="s">
        <v>162</v>
      </c>
      <c r="AG53" s="4" t="s">
        <v>161</v>
      </c>
      <c r="AH53" s="4" t="s">
        <v>28</v>
      </c>
      <c r="AI53" s="14" t="s">
        <v>55</v>
      </c>
      <c r="AJ53" s="14" t="s">
        <v>807</v>
      </c>
      <c r="AK53" s="1">
        <f>IF($B$2="Explorer",2,IF($B$4="Battleship",2,IF($B$4="Dreadnought",2,4)))</f>
        <v>2</v>
      </c>
      <c r="AL53" s="1">
        <v>12</v>
      </c>
      <c r="AM53" s="30" t="s">
        <v>174</v>
      </c>
      <c r="AN53" s="1">
        <v>2</v>
      </c>
      <c r="AO53" s="16" t="s">
        <v>39</v>
      </c>
      <c r="AP53" s="13" t="s">
        <v>113</v>
      </c>
      <c r="AQ53" s="1">
        <v>50</v>
      </c>
      <c r="AR53" s="86" t="s">
        <v>832</v>
      </c>
      <c r="AS53" s="4" t="s">
        <v>28</v>
      </c>
      <c r="AW53" s="1">
        <v>50</v>
      </c>
      <c r="AX53" s="86" t="s">
        <v>312</v>
      </c>
      <c r="AY53" s="4" t="s">
        <v>312</v>
      </c>
      <c r="AZ53" t="s">
        <v>184</v>
      </c>
    </row>
    <row r="54" spans="1:52" x14ac:dyDescent="0.2">
      <c r="A54" s="121" t="s">
        <v>879</v>
      </c>
      <c r="B54" s="81" t="s">
        <v>10</v>
      </c>
      <c r="C54" s="121" t="s">
        <v>152</v>
      </c>
      <c r="D54" s="1"/>
      <c r="E54" s="6"/>
      <c r="F54" s="6"/>
      <c r="G54" s="6"/>
      <c r="H54">
        <v>29</v>
      </c>
      <c r="I54" t="str">
        <f>IF(($B$8-45)&gt;=5,45,"Min. 5 Space Needed")</f>
        <v>Min. 5 Space Needed</v>
      </c>
      <c r="K54" s="26" t="s">
        <v>227</v>
      </c>
      <c r="R54" t="s">
        <v>238</v>
      </c>
      <c r="S54" s="1" t="s">
        <v>237</v>
      </c>
      <c r="T54" s="1">
        <v>5</v>
      </c>
      <c r="U54" s="1">
        <v>9</v>
      </c>
      <c r="V54" s="16" t="s">
        <v>218</v>
      </c>
      <c r="Y54" s="13" t="s">
        <v>224</v>
      </c>
      <c r="AE54" s="1">
        <v>51</v>
      </c>
      <c r="AF54" s="4" t="s">
        <v>162</v>
      </c>
      <c r="AG54" s="4" t="s">
        <v>161</v>
      </c>
      <c r="AH54" s="4" t="s">
        <v>28</v>
      </c>
      <c r="AI54" s="14" t="s">
        <v>55</v>
      </c>
      <c r="AJ54" s="14" t="s">
        <v>808</v>
      </c>
      <c r="AK54" s="1">
        <f>IF($B$2="Explorer",2,IF($B$4="Battleship",2,IF($B$4="Dreadnought",2,4)))</f>
        <v>2</v>
      </c>
      <c r="AL54" s="1">
        <v>12</v>
      </c>
      <c r="AM54" s="30" t="s">
        <v>174</v>
      </c>
      <c r="AN54" s="1">
        <v>2</v>
      </c>
      <c r="AO54" s="16" t="s">
        <v>179</v>
      </c>
      <c r="AP54" s="13" t="s">
        <v>113</v>
      </c>
      <c r="AQ54" s="1">
        <v>51</v>
      </c>
      <c r="AR54" s="86" t="s">
        <v>832</v>
      </c>
      <c r="AS54" s="4" t="s">
        <v>28</v>
      </c>
      <c r="AW54" s="1">
        <v>51</v>
      </c>
      <c r="AX54" s="86" t="s">
        <v>854</v>
      </c>
      <c r="AY54" t="s">
        <v>864</v>
      </c>
      <c r="AZ54" t="s">
        <v>184</v>
      </c>
    </row>
    <row r="55" spans="1:52" x14ac:dyDescent="0.2">
      <c r="A55" s="121" t="s">
        <v>79</v>
      </c>
      <c r="B55" s="114">
        <f>D55*D54</f>
        <v>0</v>
      </c>
      <c r="C55" s="121" t="s">
        <v>146</v>
      </c>
      <c r="D55" s="114">
        <f>VLOOKUP(B54,$O$3:$T$22,2,FALSE)</f>
        <v>0</v>
      </c>
      <c r="E55" s="6"/>
      <c r="F55" s="6"/>
      <c r="G55" s="6"/>
      <c r="H55">
        <v>30</v>
      </c>
      <c r="I55" t="str">
        <f>IF(($B$8-50)&gt;=5,50,"Min. 5 Space Needed")</f>
        <v>Min. 5 Space Needed</v>
      </c>
      <c r="J55" s="24"/>
      <c r="K55" t="s">
        <v>117</v>
      </c>
      <c r="L55" t="s">
        <v>47</v>
      </c>
      <c r="M55" t="s">
        <v>116</v>
      </c>
      <c r="N55" t="s">
        <v>115</v>
      </c>
      <c r="O55" t="s">
        <v>65</v>
      </c>
      <c r="R55" t="s">
        <v>231</v>
      </c>
      <c r="S55" s="1" t="s">
        <v>230</v>
      </c>
      <c r="T55" s="1">
        <v>6</v>
      </c>
      <c r="U55" s="1">
        <v>9</v>
      </c>
      <c r="V55" s="16" t="s">
        <v>218</v>
      </c>
      <c r="Y55" s="13" t="s">
        <v>217</v>
      </c>
      <c r="AE55" s="1">
        <v>52</v>
      </c>
      <c r="AF55" s="4" t="s">
        <v>162</v>
      </c>
      <c r="AG55" s="4" t="s">
        <v>161</v>
      </c>
      <c r="AH55" s="4" t="s">
        <v>28</v>
      </c>
      <c r="AI55" s="14" t="s">
        <v>55</v>
      </c>
      <c r="AJ55" s="14" t="s">
        <v>809</v>
      </c>
      <c r="AK55" s="1">
        <f>IF($B$2="Explorer",2,IF($B$4="Battleship",2,IF($B$4="Dreadnought",2,4)))</f>
        <v>2</v>
      </c>
      <c r="AL55" s="1">
        <v>12</v>
      </c>
      <c r="AM55" s="30" t="s">
        <v>174</v>
      </c>
      <c r="AN55" s="1">
        <v>2</v>
      </c>
      <c r="AO55" s="16" t="s">
        <v>20</v>
      </c>
      <c r="AP55" s="13" t="s">
        <v>113</v>
      </c>
      <c r="AQ55" s="1">
        <v>52</v>
      </c>
      <c r="AR55" s="86" t="s">
        <v>832</v>
      </c>
      <c r="AS55" s="4" t="s">
        <v>28</v>
      </c>
    </row>
    <row r="56" spans="1:52" x14ac:dyDescent="0.2">
      <c r="A56" s="121" t="s">
        <v>144</v>
      </c>
      <c r="B56" s="114">
        <f>D56*D54</f>
        <v>0</v>
      </c>
      <c r="C56" s="121" t="s">
        <v>143</v>
      </c>
      <c r="D56" s="114">
        <f>VLOOKUP(B54,$O$3:$T$22,3,FALSE)</f>
        <v>0</v>
      </c>
      <c r="E56" s="6"/>
      <c r="F56" s="6"/>
      <c r="G56" s="6"/>
      <c r="H56">
        <v>31</v>
      </c>
      <c r="K56" t="s">
        <v>10</v>
      </c>
      <c r="L56" s="1">
        <v>0</v>
      </c>
      <c r="M56" s="30" t="s">
        <v>208</v>
      </c>
      <c r="N56" s="4">
        <v>0</v>
      </c>
      <c r="O56" s="4" t="s">
        <v>113</v>
      </c>
      <c r="P56" s="13" t="s">
        <v>113</v>
      </c>
      <c r="R56" t="s">
        <v>226</v>
      </c>
      <c r="S56" s="1" t="s">
        <v>225</v>
      </c>
      <c r="T56" s="1">
        <v>6</v>
      </c>
      <c r="U56" s="1">
        <v>9</v>
      </c>
      <c r="V56" s="16" t="s">
        <v>218</v>
      </c>
      <c r="Y56" s="13" t="s">
        <v>213</v>
      </c>
      <c r="AE56" s="1">
        <v>53</v>
      </c>
      <c r="AF56" s="4" t="s">
        <v>162</v>
      </c>
      <c r="AG56" s="4" t="s">
        <v>161</v>
      </c>
      <c r="AH56" s="4" t="s">
        <v>28</v>
      </c>
      <c r="AI56" s="14" t="s">
        <v>55</v>
      </c>
      <c r="AJ56" s="14" t="s">
        <v>810</v>
      </c>
      <c r="AK56" s="1">
        <f>IF($B$2="Explorer",2,IF($B$4="Battleship",2,IF($B$4="Dreadnought",2,4)))</f>
        <v>2</v>
      </c>
      <c r="AL56" s="1">
        <v>12</v>
      </c>
      <c r="AM56" s="30" t="s">
        <v>174</v>
      </c>
      <c r="AN56" s="1">
        <v>2</v>
      </c>
      <c r="AO56" s="16" t="s">
        <v>191</v>
      </c>
      <c r="AP56" s="13" t="s">
        <v>113</v>
      </c>
      <c r="AQ56" s="1">
        <v>53</v>
      </c>
      <c r="AR56" s="86" t="s">
        <v>832</v>
      </c>
      <c r="AS56" s="4" t="s">
        <v>28</v>
      </c>
    </row>
    <row r="57" spans="1:52" x14ac:dyDescent="0.2">
      <c r="A57" s="121" t="s">
        <v>139</v>
      </c>
      <c r="B57" s="114">
        <f>VLOOKUP(B54,$O$3:$T$22,4,FALSE)</f>
        <v>0</v>
      </c>
      <c r="C57" s="107" t="str">
        <f>IF(B57&gt;$B$5,"Weapon Too Large for Ship Size","Meets Min. Ship Size Restriction")</f>
        <v>Meets Min. Ship Size Restriction</v>
      </c>
      <c r="D57" s="15"/>
      <c r="E57" s="6"/>
      <c r="F57" s="6"/>
      <c r="G57" s="6"/>
      <c r="H57">
        <v>32</v>
      </c>
      <c r="K57" s="31" t="s">
        <v>109</v>
      </c>
      <c r="L57" s="1"/>
      <c r="M57" s="1"/>
      <c r="N57" s="1"/>
      <c r="O57" s="1"/>
      <c r="R57" t="s">
        <v>220</v>
      </c>
      <c r="S57" s="4" t="s">
        <v>219</v>
      </c>
      <c r="T57" s="1">
        <v>4</v>
      </c>
      <c r="U57" s="1">
        <v>7</v>
      </c>
      <c r="V57" s="16" t="s">
        <v>218</v>
      </c>
      <c r="Y57" s="13" t="s">
        <v>145</v>
      </c>
      <c r="AE57" s="1">
        <v>54</v>
      </c>
      <c r="AF57" s="4" t="s">
        <v>162</v>
      </c>
      <c r="AG57" s="4" t="s">
        <v>161</v>
      </c>
      <c r="AH57" s="4" t="s">
        <v>28</v>
      </c>
      <c r="AJ57" s="14" t="s">
        <v>573</v>
      </c>
      <c r="AK57" s="1"/>
      <c r="AL57" s="1"/>
      <c r="AM57" s="1"/>
      <c r="AN57" s="1"/>
      <c r="AO57" s="1"/>
      <c r="AP57" s="13" t="s">
        <v>113</v>
      </c>
      <c r="AQ57" s="1">
        <v>54</v>
      </c>
      <c r="AR57" s="86" t="s">
        <v>832</v>
      </c>
      <c r="AS57" s="4" t="s">
        <v>28</v>
      </c>
      <c r="AX57" s="1"/>
    </row>
    <row r="58" spans="1:52" x14ac:dyDescent="0.2">
      <c r="A58" s="121"/>
      <c r="B58" s="114"/>
      <c r="C58" s="6"/>
      <c r="D58" s="15"/>
      <c r="E58" s="6"/>
      <c r="F58" s="6"/>
      <c r="G58" s="6"/>
      <c r="H58">
        <v>33</v>
      </c>
      <c r="J58" s="20"/>
      <c r="K58" s="13" t="s">
        <v>748</v>
      </c>
      <c r="L58" s="1">
        <v>1</v>
      </c>
      <c r="M58" s="1" t="s">
        <v>206</v>
      </c>
      <c r="N58" s="1">
        <v>2</v>
      </c>
      <c r="O58" s="1" t="s">
        <v>20</v>
      </c>
      <c r="P58" s="13" t="s">
        <v>130</v>
      </c>
      <c r="R58" t="s">
        <v>214</v>
      </c>
      <c r="S58" s="1"/>
      <c r="T58" s="1"/>
      <c r="U58" s="1"/>
      <c r="V58" s="16"/>
      <c r="Y58" s="13" t="s">
        <v>114</v>
      </c>
      <c r="AE58" s="1">
        <v>55</v>
      </c>
      <c r="AF58" s="4" t="s">
        <v>162</v>
      </c>
      <c r="AG58" s="4" t="s">
        <v>161</v>
      </c>
      <c r="AH58" s="4" t="s">
        <v>28</v>
      </c>
      <c r="AI58" s="14" t="s">
        <v>176</v>
      </c>
      <c r="AJ58" s="14" t="s">
        <v>811</v>
      </c>
      <c r="AK58" s="1">
        <f>IF($B$2="Explorer",4,IF($B$4="Battleship",4,IF($B$4="Dreadnought",4,6)))</f>
        <v>4</v>
      </c>
      <c r="AL58" s="1">
        <v>13</v>
      </c>
      <c r="AM58" s="30" t="s">
        <v>174</v>
      </c>
      <c r="AN58" s="1">
        <v>3</v>
      </c>
      <c r="AO58" s="16" t="s">
        <v>184</v>
      </c>
      <c r="AP58" s="13" t="s">
        <v>113</v>
      </c>
      <c r="AQ58" s="1">
        <v>55</v>
      </c>
      <c r="AR58" s="86" t="s">
        <v>832</v>
      </c>
      <c r="AS58" s="4" t="s">
        <v>28</v>
      </c>
      <c r="AX58" s="1"/>
    </row>
    <row r="59" spans="1:52" x14ac:dyDescent="0.2">
      <c r="A59" s="121" t="s">
        <v>60</v>
      </c>
      <c r="B59" s="114" t="str">
        <f>VLOOKUP(B54,$O$3:$T$22,5,FALSE)</f>
        <v xml:space="preserve"> </v>
      </c>
      <c r="C59" s="6"/>
      <c r="D59" s="6"/>
      <c r="E59" s="6"/>
      <c r="F59" s="6"/>
      <c r="G59" s="6"/>
      <c r="H59">
        <v>34</v>
      </c>
      <c r="J59" s="20"/>
      <c r="K59" s="13" t="s">
        <v>749</v>
      </c>
      <c r="L59" s="1">
        <f>IF($B$2="Escort",1,IF($B$2="Destroyer",1,2))</f>
        <v>2</v>
      </c>
      <c r="M59" s="1" t="s">
        <v>171</v>
      </c>
      <c r="N59" s="1">
        <v>4</v>
      </c>
      <c r="O59" s="1" t="s">
        <v>53</v>
      </c>
      <c r="P59" s="13" t="s">
        <v>130</v>
      </c>
      <c r="R59" t="s">
        <v>212</v>
      </c>
      <c r="S59" s="1" t="s">
        <v>211</v>
      </c>
      <c r="T59" s="1">
        <v>4</v>
      </c>
      <c r="U59" s="1">
        <v>6</v>
      </c>
      <c r="V59" s="16" t="s">
        <v>69</v>
      </c>
      <c r="AE59" s="1">
        <v>56</v>
      </c>
      <c r="AF59" s="4" t="s">
        <v>162</v>
      </c>
      <c r="AG59" s="4" t="s">
        <v>161</v>
      </c>
      <c r="AH59" s="4" t="s">
        <v>28</v>
      </c>
      <c r="AI59" s="14" t="s">
        <v>176</v>
      </c>
      <c r="AJ59" s="14" t="s">
        <v>812</v>
      </c>
      <c r="AK59" s="1">
        <f>IF($B$2="Explorer",4,IF($B$4="Battleship",4,IF($B$4="Dreadnought",4,6)))</f>
        <v>4</v>
      </c>
      <c r="AL59" s="1">
        <v>13</v>
      </c>
      <c r="AM59" s="30" t="s">
        <v>174</v>
      </c>
      <c r="AN59" s="1">
        <v>3</v>
      </c>
      <c r="AO59" s="16" t="s">
        <v>39</v>
      </c>
      <c r="AP59" s="13" t="s">
        <v>113</v>
      </c>
      <c r="AQ59" s="1">
        <v>56</v>
      </c>
      <c r="AR59" s="86" t="s">
        <v>832</v>
      </c>
      <c r="AS59" s="4" t="s">
        <v>28</v>
      </c>
      <c r="AX59" s="1"/>
    </row>
    <row r="60" spans="1:52" x14ac:dyDescent="0.2">
      <c r="A60" s="121"/>
      <c r="B60" s="114" t="str">
        <f>VLOOKUP(B54,$O$3:$T$22,6,FALSE)</f>
        <v xml:space="preserve"> </v>
      </c>
      <c r="C60" s="6"/>
      <c r="D60" s="6"/>
      <c r="E60" s="6"/>
      <c r="F60" s="6"/>
      <c r="G60" s="6"/>
      <c r="H60">
        <v>35</v>
      </c>
      <c r="I60" s="25" t="s">
        <v>200</v>
      </c>
      <c r="J60" s="20"/>
      <c r="K60" s="13" t="s">
        <v>750</v>
      </c>
      <c r="L60" s="1">
        <f>IF($B$2="Escort",2,IF($B$2="Destroyer",2,3))</f>
        <v>3</v>
      </c>
      <c r="M60" s="1" t="s">
        <v>171</v>
      </c>
      <c r="N60" s="1">
        <v>6</v>
      </c>
      <c r="O60" s="1" t="s">
        <v>39</v>
      </c>
      <c r="P60" s="13" t="s">
        <v>130</v>
      </c>
      <c r="R60" t="s">
        <v>205</v>
      </c>
      <c r="S60" s="1" t="s">
        <v>204</v>
      </c>
      <c r="T60" s="1">
        <v>5</v>
      </c>
      <c r="U60" s="1">
        <v>7</v>
      </c>
      <c r="V60" s="16" t="s">
        <v>69</v>
      </c>
      <c r="AE60" s="1">
        <v>57</v>
      </c>
      <c r="AF60" s="4" t="s">
        <v>162</v>
      </c>
      <c r="AG60" s="4" t="s">
        <v>161</v>
      </c>
      <c r="AH60" s="4" t="s">
        <v>28</v>
      </c>
      <c r="AI60" s="14" t="s">
        <v>176</v>
      </c>
      <c r="AJ60" s="14" t="s">
        <v>813</v>
      </c>
      <c r="AK60" s="1">
        <f>IF($B$2="Explorer",4,IF($B$4="Battleship",4,IF($B$4="Dreadnought",4,6)))</f>
        <v>4</v>
      </c>
      <c r="AL60" s="1">
        <v>13</v>
      </c>
      <c r="AM60" s="30" t="s">
        <v>174</v>
      </c>
      <c r="AN60" s="1">
        <v>3</v>
      </c>
      <c r="AO60" s="16" t="s">
        <v>179</v>
      </c>
      <c r="AP60" s="13" t="s">
        <v>113</v>
      </c>
      <c r="AQ60" s="1">
        <v>57</v>
      </c>
      <c r="AR60" s="86" t="s">
        <v>832</v>
      </c>
      <c r="AS60" s="4" t="s">
        <v>28</v>
      </c>
      <c r="AX60" s="1"/>
    </row>
    <row r="61" spans="1:52" x14ac:dyDescent="0.2">
      <c r="A61" s="121"/>
      <c r="B61" s="15"/>
      <c r="C61" s="6"/>
      <c r="D61" s="6"/>
      <c r="E61" s="6"/>
      <c r="F61" s="6"/>
      <c r="G61" s="6"/>
      <c r="H61">
        <v>36</v>
      </c>
      <c r="I61">
        <v>0</v>
      </c>
      <c r="J61" s="20"/>
      <c r="K61" s="13" t="s">
        <v>751</v>
      </c>
      <c r="L61" s="1">
        <f>IF($B$2="Escort",2,IF($B$2="Destroyer",2,3))</f>
        <v>3</v>
      </c>
      <c r="M61" s="1" t="s">
        <v>190</v>
      </c>
      <c r="N61" s="1">
        <v>5</v>
      </c>
      <c r="O61" s="1" t="s">
        <v>39</v>
      </c>
      <c r="P61" s="13" t="s">
        <v>130</v>
      </c>
      <c r="R61" t="s">
        <v>202</v>
      </c>
      <c r="S61" s="1"/>
      <c r="T61" s="1"/>
      <c r="U61" s="1"/>
      <c r="V61" s="16"/>
      <c r="AE61" s="1">
        <v>58</v>
      </c>
      <c r="AF61" s="4" t="s">
        <v>162</v>
      </c>
      <c r="AG61" s="4" t="s">
        <v>161</v>
      </c>
      <c r="AH61" s="4" t="s">
        <v>28</v>
      </c>
      <c r="AI61" s="14" t="s">
        <v>176</v>
      </c>
      <c r="AJ61" s="14" t="s">
        <v>814</v>
      </c>
      <c r="AK61" s="1">
        <f>IF($B$2="Explorer",4,IF($B$4="Battleship",4,IF($B$4="Dreadnought",4,6)))</f>
        <v>4</v>
      </c>
      <c r="AL61" s="1">
        <v>13</v>
      </c>
      <c r="AM61" s="30" t="s">
        <v>174</v>
      </c>
      <c r="AN61" s="1">
        <v>3</v>
      </c>
      <c r="AO61" s="16" t="s">
        <v>20</v>
      </c>
      <c r="AP61" s="13" t="s">
        <v>113</v>
      </c>
      <c r="AQ61" s="1">
        <v>58</v>
      </c>
      <c r="AR61" s="86" t="s">
        <v>832</v>
      </c>
      <c r="AS61" s="4" t="s">
        <v>28</v>
      </c>
      <c r="AX61" s="1"/>
    </row>
    <row r="62" spans="1:52" x14ac:dyDescent="0.2">
      <c r="A62" s="121" t="s">
        <v>883</v>
      </c>
      <c r="B62" s="110" t="str">
        <f>IF(B54="FL-1, FL-2, FL-3", VLOOKUP($B$56,$AW$2:$AZ$54,2,FALSE),IF(B54="FL-4, FL-5, FL-6",VLOOKUP(B56,$AW$2:$AZ$54,2,FALSE),VLOOKUP(B56,$AE$2:$AH$113,2,FALSE)))</f>
        <v xml:space="preserve"> </v>
      </c>
      <c r="C62" s="107" t="str">
        <f>IF(B62=" "," ","Reference Value Only")</f>
        <v xml:space="preserve"> </v>
      </c>
      <c r="D62" s="6"/>
      <c r="E62" s="6"/>
      <c r="F62" s="6"/>
      <c r="G62" s="6"/>
      <c r="H62">
        <v>37</v>
      </c>
      <c r="I62" t="str">
        <f>IF(($B$8*0.25)&gt;=5,5,"Min. 5 Structure Needed; Max. 25%")</f>
        <v>Min. 5 Structure Needed; Max. 25%</v>
      </c>
      <c r="J62" s="20"/>
      <c r="K62" s="13" t="s">
        <v>752</v>
      </c>
      <c r="L62" s="1">
        <f>IF($B$2="Escort",3,IF($B$2="Destroyer",3,4))</f>
        <v>4</v>
      </c>
      <c r="M62" s="1" t="s">
        <v>190</v>
      </c>
      <c r="N62" s="1">
        <v>6</v>
      </c>
      <c r="O62" s="1" t="s">
        <v>20</v>
      </c>
      <c r="P62" s="13" t="s">
        <v>130</v>
      </c>
      <c r="R62" t="s">
        <v>198</v>
      </c>
      <c r="S62" s="1" t="s">
        <v>197</v>
      </c>
      <c r="T62" s="1">
        <v>3</v>
      </c>
      <c r="U62" s="1">
        <v>5</v>
      </c>
      <c r="V62" s="16" t="s">
        <v>125</v>
      </c>
      <c r="AE62" s="1">
        <v>59</v>
      </c>
      <c r="AF62" s="4" t="s">
        <v>162</v>
      </c>
      <c r="AG62" s="4" t="s">
        <v>161</v>
      </c>
      <c r="AH62" s="4" t="s">
        <v>28</v>
      </c>
      <c r="AJ62" s="14"/>
      <c r="AK62" s="1"/>
      <c r="AL62" s="1"/>
      <c r="AM62" s="1"/>
      <c r="AN62" s="1"/>
      <c r="AP62" s="13" t="s">
        <v>113</v>
      </c>
      <c r="AQ62" s="1">
        <v>59</v>
      </c>
      <c r="AR62" s="86" t="s">
        <v>832</v>
      </c>
      <c r="AS62" s="4" t="s">
        <v>28</v>
      </c>
      <c r="AX62" s="1"/>
    </row>
    <row r="63" spans="1:52" x14ac:dyDescent="0.2">
      <c r="A63" s="121" t="s">
        <v>882</v>
      </c>
      <c r="B63" s="110" t="str">
        <f>IF(B54="FL-1, FL-2, FL-3", VLOOKUP(B56,$AW$2:$AZ$54,4,FALSE),IF(B54="FL-4, FL-5, FL-6",VLOOKUP(B56,$AW$2:$AZ$54,4,FALSE),VLOOKUP(B56,$AE$2:$AH$113,4,FALSE)))</f>
        <v xml:space="preserve"> </v>
      </c>
      <c r="C63" s="107" t="str">
        <f>IF(B63=" "," ","Reference Value Only")</f>
        <v xml:space="preserve"> </v>
      </c>
      <c r="D63" s="15"/>
      <c r="E63" s="6"/>
      <c r="F63" s="6"/>
      <c r="G63" s="6"/>
      <c r="H63">
        <v>38</v>
      </c>
      <c r="I63" t="str">
        <f>IF(($B$8*0.25)&gt;=10,10,"Min. 5 Structure Needed; Max. 25%")</f>
        <v>Min. 5 Structure Needed; Max. 25%</v>
      </c>
      <c r="J63" s="20"/>
      <c r="K63" s="13" t="s">
        <v>753</v>
      </c>
      <c r="L63" s="1">
        <f>IF($B$2="Escort",4,IF($B$2="Destroyer",4,5))</f>
        <v>5</v>
      </c>
      <c r="M63" s="1" t="s">
        <v>171</v>
      </c>
      <c r="N63" s="1">
        <v>8</v>
      </c>
      <c r="O63" s="1" t="s">
        <v>28</v>
      </c>
      <c r="P63" s="13" t="s">
        <v>130</v>
      </c>
      <c r="R63" t="s">
        <v>194</v>
      </c>
      <c r="S63" s="1" t="s">
        <v>193</v>
      </c>
      <c r="T63" s="1">
        <v>4</v>
      </c>
      <c r="U63" s="1">
        <v>6</v>
      </c>
      <c r="V63" s="16" t="s">
        <v>125</v>
      </c>
      <c r="AE63" s="17">
        <v>60</v>
      </c>
      <c r="AF63" s="2" t="s">
        <v>97</v>
      </c>
      <c r="AG63" s="2" t="s">
        <v>96</v>
      </c>
      <c r="AH63" s="2" t="s">
        <v>28</v>
      </c>
      <c r="AJ63" s="29" t="s">
        <v>10</v>
      </c>
      <c r="AK63" s="1">
        <v>0</v>
      </c>
      <c r="AL63" s="28">
        <v>5</v>
      </c>
      <c r="AM63" s="1">
        <v>0</v>
      </c>
      <c r="AN63" s="1">
        <v>0</v>
      </c>
      <c r="AP63" s="13" t="s">
        <v>113</v>
      </c>
      <c r="AQ63" s="17">
        <v>60</v>
      </c>
      <c r="AR63" s="2" t="s">
        <v>833</v>
      </c>
      <c r="AS63" s="2" t="s">
        <v>28</v>
      </c>
      <c r="AX63" s="1"/>
    </row>
    <row r="64" spans="1:52" x14ac:dyDescent="0.2">
      <c r="A64" s="93"/>
      <c r="B64" s="114"/>
      <c r="C64" s="19"/>
      <c r="D64" s="15"/>
      <c r="E64" s="6"/>
      <c r="F64" s="6"/>
      <c r="G64" s="6"/>
      <c r="H64">
        <v>39</v>
      </c>
      <c r="J64" s="20"/>
      <c r="K64" s="13" t="s">
        <v>754</v>
      </c>
      <c r="L64" s="1">
        <f>IF($B$2="Escort",5,IF($B$2="Destroyer",5,6))</f>
        <v>6</v>
      </c>
      <c r="M64" s="1" t="s">
        <v>164</v>
      </c>
      <c r="N64" s="1">
        <v>10</v>
      </c>
      <c r="O64" s="1" t="s">
        <v>28</v>
      </c>
      <c r="P64" s="13" t="s">
        <v>130</v>
      </c>
      <c r="R64" t="s">
        <v>189</v>
      </c>
      <c r="S64" s="1" t="s">
        <v>188</v>
      </c>
      <c r="T64" s="1">
        <v>4</v>
      </c>
      <c r="U64" s="1">
        <v>6</v>
      </c>
      <c r="V64" s="16" t="s">
        <v>125</v>
      </c>
      <c r="AE64" s="1">
        <v>61</v>
      </c>
      <c r="AF64" s="4" t="s">
        <v>97</v>
      </c>
      <c r="AG64" s="4" t="s">
        <v>96</v>
      </c>
      <c r="AH64" s="4" t="s">
        <v>28</v>
      </c>
      <c r="AJ64" s="29"/>
      <c r="AK64" s="1"/>
      <c r="AL64" s="28"/>
      <c r="AM64" s="1"/>
      <c r="AN64" s="1"/>
      <c r="AP64" s="13"/>
      <c r="AQ64" s="1">
        <v>61</v>
      </c>
      <c r="AR64" s="86" t="s">
        <v>833</v>
      </c>
      <c r="AS64" s="4" t="s">
        <v>28</v>
      </c>
      <c r="AX64" s="1"/>
    </row>
    <row r="65" spans="1:50" x14ac:dyDescent="0.2">
      <c r="A65" s="92"/>
      <c r="B65" s="15"/>
      <c r="C65" s="6"/>
      <c r="D65" s="6"/>
      <c r="E65" s="6"/>
      <c r="F65" s="6"/>
      <c r="G65" s="6"/>
      <c r="H65">
        <v>40</v>
      </c>
      <c r="J65" s="32"/>
      <c r="K65" s="13" t="s">
        <v>755</v>
      </c>
      <c r="L65" s="1">
        <f>IF($B$2="Escort",6,IF($B$2="Destroyer",6,7))</f>
        <v>7</v>
      </c>
      <c r="M65" s="4" t="s">
        <v>150</v>
      </c>
      <c r="N65" s="1">
        <v>10</v>
      </c>
      <c r="O65" s="4" t="s">
        <v>28</v>
      </c>
      <c r="P65" s="13" t="s">
        <v>130</v>
      </c>
      <c r="R65" t="s">
        <v>187</v>
      </c>
      <c r="S65" s="1" t="s">
        <v>186</v>
      </c>
      <c r="T65" s="1">
        <v>2</v>
      </c>
      <c r="U65" s="1">
        <v>4</v>
      </c>
      <c r="V65" s="16" t="s">
        <v>125</v>
      </c>
      <c r="AE65" s="1">
        <v>62</v>
      </c>
      <c r="AF65" s="4" t="s">
        <v>97</v>
      </c>
      <c r="AG65" s="4" t="s">
        <v>96</v>
      </c>
      <c r="AH65" s="4" t="s">
        <v>28</v>
      </c>
      <c r="AJ65" s="29"/>
      <c r="AK65" s="1"/>
      <c r="AL65" s="28"/>
      <c r="AM65" s="1"/>
      <c r="AN65" s="1"/>
      <c r="AP65" s="13"/>
      <c r="AQ65" s="1">
        <v>62</v>
      </c>
      <c r="AR65" s="86" t="s">
        <v>833</v>
      </c>
      <c r="AS65" s="4" t="s">
        <v>28</v>
      </c>
      <c r="AX65" s="1"/>
    </row>
    <row r="66" spans="1:50" x14ac:dyDescent="0.2">
      <c r="A66" s="121" t="s">
        <v>880</v>
      </c>
      <c r="B66" s="81" t="s">
        <v>10</v>
      </c>
      <c r="C66" s="121" t="s">
        <v>152</v>
      </c>
      <c r="D66" s="1"/>
      <c r="E66" s="6"/>
      <c r="F66" s="6"/>
      <c r="G66" s="6"/>
      <c r="H66">
        <v>41</v>
      </c>
      <c r="K66" s="31" t="s">
        <v>58</v>
      </c>
      <c r="L66" s="1"/>
      <c r="M66" s="1"/>
      <c r="N66" s="1"/>
      <c r="O66" s="1"/>
      <c r="P66" s="13"/>
      <c r="R66" t="s">
        <v>183</v>
      </c>
      <c r="S66" s="1"/>
      <c r="T66" s="1"/>
      <c r="U66" s="1"/>
      <c r="V66" s="16"/>
      <c r="AE66" s="1">
        <v>63</v>
      </c>
      <c r="AF66" s="4" t="s">
        <v>97</v>
      </c>
      <c r="AG66" s="4" t="s">
        <v>96</v>
      </c>
      <c r="AH66" s="4" t="s">
        <v>28</v>
      </c>
      <c r="AJ66" s="29"/>
      <c r="AK66" s="1"/>
      <c r="AL66" s="28"/>
      <c r="AM66" s="1"/>
      <c r="AN66" s="1"/>
      <c r="AP66" s="13"/>
      <c r="AQ66" s="1">
        <v>63</v>
      </c>
      <c r="AR66" s="86" t="s">
        <v>833</v>
      </c>
      <c r="AS66" s="4" t="s">
        <v>28</v>
      </c>
      <c r="AX66" s="1"/>
    </row>
    <row r="67" spans="1:50" x14ac:dyDescent="0.2">
      <c r="A67" s="121" t="s">
        <v>79</v>
      </c>
      <c r="B67" s="114">
        <f>D67*D66</f>
        <v>0</v>
      </c>
      <c r="C67" s="121" t="s">
        <v>146</v>
      </c>
      <c r="D67" s="114">
        <f>VLOOKUP(B66,$O$3:$T$22,2,FALSE)</f>
        <v>0</v>
      </c>
      <c r="E67" s="6"/>
      <c r="F67" s="6"/>
      <c r="G67" s="6"/>
      <c r="H67">
        <v>42</v>
      </c>
      <c r="K67" t="s">
        <v>57</v>
      </c>
      <c r="L67" s="1">
        <v>1</v>
      </c>
      <c r="M67" s="1" t="s">
        <v>171</v>
      </c>
      <c r="N67" s="1">
        <v>2</v>
      </c>
      <c r="O67" s="1" t="s">
        <v>28</v>
      </c>
      <c r="P67" s="13" t="s">
        <v>130</v>
      </c>
      <c r="R67" t="s">
        <v>178</v>
      </c>
      <c r="S67" s="1" t="s">
        <v>177</v>
      </c>
      <c r="T67" s="1">
        <v>3</v>
      </c>
      <c r="U67" s="1">
        <v>5</v>
      </c>
      <c r="V67" s="16" t="s">
        <v>166</v>
      </c>
      <c r="AE67" s="1">
        <v>64</v>
      </c>
      <c r="AF67" s="4" t="s">
        <v>97</v>
      </c>
      <c r="AG67" s="4" t="s">
        <v>96</v>
      </c>
      <c r="AH67" s="4" t="s">
        <v>28</v>
      </c>
      <c r="AJ67" s="29"/>
      <c r="AK67" s="1"/>
      <c r="AL67" s="28"/>
      <c r="AM67" s="1"/>
      <c r="AN67" s="1"/>
      <c r="AP67" s="13"/>
      <c r="AQ67" s="1">
        <v>64</v>
      </c>
      <c r="AR67" s="86" t="s">
        <v>833</v>
      </c>
      <c r="AS67" s="4" t="s">
        <v>28</v>
      </c>
      <c r="AX67" s="1"/>
    </row>
    <row r="68" spans="1:50" x14ac:dyDescent="0.2">
      <c r="A68" s="121" t="s">
        <v>144</v>
      </c>
      <c r="B68" s="114">
        <f>D68*D66</f>
        <v>0</v>
      </c>
      <c r="C68" s="121" t="s">
        <v>143</v>
      </c>
      <c r="D68" s="114">
        <f>VLOOKUP(B66,$O$3:$T$22,3,FALSE)</f>
        <v>0</v>
      </c>
      <c r="E68" s="6"/>
      <c r="F68" s="6"/>
      <c r="G68" s="6"/>
      <c r="H68">
        <v>43</v>
      </c>
      <c r="K68" t="s">
        <v>55</v>
      </c>
      <c r="L68" s="1">
        <v>1</v>
      </c>
      <c r="M68" s="1" t="s">
        <v>171</v>
      </c>
      <c r="N68" s="1">
        <v>4</v>
      </c>
      <c r="O68" s="1" t="s">
        <v>0</v>
      </c>
      <c r="P68" s="13" t="s">
        <v>130</v>
      </c>
      <c r="R68" t="s">
        <v>173</v>
      </c>
      <c r="S68" s="1" t="s">
        <v>172</v>
      </c>
      <c r="T68" s="1">
        <v>3</v>
      </c>
      <c r="U68" s="1">
        <v>5</v>
      </c>
      <c r="V68" s="16" t="s">
        <v>166</v>
      </c>
      <c r="AE68" s="1">
        <v>65</v>
      </c>
      <c r="AF68" s="4" t="s">
        <v>97</v>
      </c>
      <c r="AG68" s="4" t="s">
        <v>96</v>
      </c>
      <c r="AH68" s="4" t="s">
        <v>28</v>
      </c>
      <c r="AJ68" s="29"/>
      <c r="AK68" s="1"/>
      <c r="AL68" s="28"/>
      <c r="AM68" s="1"/>
      <c r="AN68" s="1"/>
      <c r="AP68" s="13"/>
      <c r="AQ68" s="1">
        <v>65</v>
      </c>
      <c r="AR68" s="86" t="s">
        <v>833</v>
      </c>
      <c r="AS68" s="4" t="s">
        <v>28</v>
      </c>
      <c r="AX68" s="1"/>
    </row>
    <row r="69" spans="1:50" x14ac:dyDescent="0.2">
      <c r="A69" s="121" t="s">
        <v>139</v>
      </c>
      <c r="B69" s="114">
        <f>VLOOKUP(B66,$O$3:$T$22,4,FALSE)</f>
        <v>0</v>
      </c>
      <c r="C69" s="107" t="str">
        <f>IF(B69&gt;$B$5,"Weapon Too Large for Ship Size","Meets Min. Ship Size Restriction")</f>
        <v>Meets Min. Ship Size Restriction</v>
      </c>
      <c r="D69" s="15"/>
      <c r="E69" s="6"/>
      <c r="F69" s="6"/>
      <c r="G69" s="6"/>
      <c r="H69">
        <v>44</v>
      </c>
      <c r="K69" t="s">
        <v>51</v>
      </c>
      <c r="L69" s="1">
        <f>IF($B$2="Escort",1,IF($B$2="Destroyer",1,2))</f>
        <v>2</v>
      </c>
      <c r="M69" s="1" t="s">
        <v>164</v>
      </c>
      <c r="N69" s="1">
        <v>6</v>
      </c>
      <c r="O69" s="1" t="s">
        <v>20</v>
      </c>
      <c r="P69" s="13" t="s">
        <v>130</v>
      </c>
      <c r="R69" t="s">
        <v>170</v>
      </c>
      <c r="S69" s="1" t="s">
        <v>169</v>
      </c>
      <c r="T69" s="1">
        <v>4</v>
      </c>
      <c r="U69" s="1">
        <v>7</v>
      </c>
      <c r="V69" s="16" t="s">
        <v>166</v>
      </c>
      <c r="AE69" s="1">
        <v>66</v>
      </c>
      <c r="AF69" s="4" t="s">
        <v>97</v>
      </c>
      <c r="AG69" s="4" t="s">
        <v>96</v>
      </c>
      <c r="AH69" s="4" t="s">
        <v>28</v>
      </c>
      <c r="AJ69" s="29"/>
      <c r="AK69" s="1"/>
      <c r="AL69" s="28"/>
      <c r="AM69" s="1"/>
      <c r="AN69" s="1"/>
      <c r="AP69" s="13"/>
      <c r="AQ69" s="1">
        <v>66</v>
      </c>
      <c r="AR69" s="86" t="s">
        <v>833</v>
      </c>
      <c r="AS69" s="4" t="s">
        <v>28</v>
      </c>
      <c r="AX69" s="1"/>
    </row>
    <row r="70" spans="1:50" x14ac:dyDescent="0.2">
      <c r="A70" s="121"/>
      <c r="B70" s="114"/>
      <c r="C70" s="6"/>
      <c r="D70" s="15"/>
      <c r="E70" s="6"/>
      <c r="F70" s="6"/>
      <c r="G70" s="6"/>
      <c r="H70">
        <v>45</v>
      </c>
      <c r="K70" t="s">
        <v>165</v>
      </c>
      <c r="L70" s="1">
        <f>IF($B$2="Escort",1,IF($B$2="Destroyer",1,2))</f>
        <v>2</v>
      </c>
      <c r="M70" s="1" t="s">
        <v>164</v>
      </c>
      <c r="N70" s="1">
        <v>7</v>
      </c>
      <c r="O70" s="1" t="s">
        <v>28</v>
      </c>
      <c r="P70" s="13" t="s">
        <v>130</v>
      </c>
      <c r="R70" t="s">
        <v>168</v>
      </c>
      <c r="S70" s="1" t="s">
        <v>167</v>
      </c>
      <c r="T70" s="1">
        <v>3</v>
      </c>
      <c r="U70" s="1">
        <v>4</v>
      </c>
      <c r="V70" s="16" t="s">
        <v>166</v>
      </c>
      <c r="AE70" s="1">
        <v>67</v>
      </c>
      <c r="AF70" s="4" t="s">
        <v>97</v>
      </c>
      <c r="AG70" s="4" t="s">
        <v>96</v>
      </c>
      <c r="AH70" s="4" t="s">
        <v>28</v>
      </c>
      <c r="AJ70" s="29"/>
      <c r="AK70" s="1"/>
      <c r="AL70" s="28"/>
      <c r="AM70" s="1"/>
      <c r="AN70" s="1"/>
      <c r="AP70" s="13"/>
      <c r="AQ70" s="1">
        <v>67</v>
      </c>
      <c r="AR70" s="86" t="s">
        <v>833</v>
      </c>
      <c r="AS70" s="4" t="s">
        <v>28</v>
      </c>
      <c r="AX70" s="1"/>
    </row>
    <row r="71" spans="1:50" x14ac:dyDescent="0.2">
      <c r="A71" s="121" t="s">
        <v>60</v>
      </c>
      <c r="B71" s="114" t="str">
        <f>VLOOKUP(B66,$O$3:$T$22,5,FALSE)</f>
        <v xml:space="preserve"> </v>
      </c>
      <c r="C71" s="6"/>
      <c r="D71" s="6"/>
      <c r="E71" s="6"/>
      <c r="F71" s="6"/>
      <c r="G71" s="6"/>
      <c r="H71">
        <v>46</v>
      </c>
      <c r="K71" t="s">
        <v>46</v>
      </c>
      <c r="L71" s="1">
        <f>IF($B$2="Escort",1,IF($B$2="Destroyer",1,2))</f>
        <v>2</v>
      </c>
      <c r="M71" s="1" t="s">
        <v>160</v>
      </c>
      <c r="N71" s="1">
        <v>4</v>
      </c>
      <c r="O71" s="1" t="s">
        <v>20</v>
      </c>
      <c r="P71" s="13" t="s">
        <v>130</v>
      </c>
      <c r="R71" t="s">
        <v>163</v>
      </c>
      <c r="S71" s="1"/>
      <c r="T71" s="1"/>
      <c r="U71" s="1"/>
      <c r="V71" s="16"/>
      <c r="AE71" s="1">
        <v>68</v>
      </c>
      <c r="AF71" s="4" t="s">
        <v>97</v>
      </c>
      <c r="AG71" s="4" t="s">
        <v>96</v>
      </c>
      <c r="AH71" s="4" t="s">
        <v>28</v>
      </c>
      <c r="AJ71" s="29"/>
      <c r="AK71" s="1"/>
      <c r="AL71" s="28"/>
      <c r="AM71" s="1"/>
      <c r="AN71" s="1"/>
      <c r="AP71" s="13"/>
      <c r="AQ71" s="1">
        <v>68</v>
      </c>
      <c r="AR71" s="86" t="s">
        <v>833</v>
      </c>
      <c r="AS71" s="4" t="s">
        <v>28</v>
      </c>
      <c r="AX71" s="1"/>
    </row>
    <row r="72" spans="1:50" x14ac:dyDescent="0.2">
      <c r="A72" s="92"/>
      <c r="B72" s="114" t="str">
        <f>VLOOKUP(B66,$O$3:$T$22,6,FALSE)</f>
        <v xml:space="preserve"> </v>
      </c>
      <c r="C72" s="6"/>
      <c r="D72" s="6"/>
      <c r="E72" s="6"/>
      <c r="F72" s="6"/>
      <c r="G72" s="6"/>
      <c r="H72">
        <v>47</v>
      </c>
      <c r="K72" t="s">
        <v>157</v>
      </c>
      <c r="L72" s="1">
        <f>IF($B$2="Escort",2,IF($B$2="Destroyer",2,3))</f>
        <v>3</v>
      </c>
      <c r="M72" s="1" t="s">
        <v>150</v>
      </c>
      <c r="N72" s="1">
        <v>5</v>
      </c>
      <c r="O72" s="1" t="s">
        <v>0</v>
      </c>
      <c r="P72" s="13" t="s">
        <v>130</v>
      </c>
      <c r="R72" t="s">
        <v>159</v>
      </c>
      <c r="S72" s="1" t="s">
        <v>158</v>
      </c>
      <c r="T72" s="1">
        <v>2</v>
      </c>
      <c r="U72" s="1">
        <v>4</v>
      </c>
      <c r="V72" s="16" t="s">
        <v>147</v>
      </c>
      <c r="AE72" s="1">
        <v>69</v>
      </c>
      <c r="AF72" s="4" t="s">
        <v>97</v>
      </c>
      <c r="AG72" s="4" t="s">
        <v>96</v>
      </c>
      <c r="AH72" s="4" t="s">
        <v>28</v>
      </c>
      <c r="AJ72" s="29"/>
      <c r="AK72" s="1"/>
      <c r="AL72" s="28"/>
      <c r="AM72" s="1"/>
      <c r="AN72" s="1"/>
      <c r="AP72" s="13"/>
      <c r="AQ72" s="1">
        <v>69</v>
      </c>
      <c r="AR72" s="86" t="s">
        <v>833</v>
      </c>
      <c r="AS72" s="4" t="s">
        <v>28</v>
      </c>
      <c r="AX72" s="1"/>
    </row>
    <row r="73" spans="1:50" x14ac:dyDescent="0.2">
      <c r="A73" s="92"/>
      <c r="B73" s="15"/>
      <c r="C73" s="6"/>
      <c r="D73" s="6"/>
      <c r="E73" s="6"/>
      <c r="F73" s="6"/>
      <c r="G73" s="6"/>
      <c r="H73">
        <v>48</v>
      </c>
      <c r="K73" t="s">
        <v>151</v>
      </c>
      <c r="L73" s="1">
        <f>IF($B$2="Escort",2,IF($B$2="Destroyer",2,3))</f>
        <v>3</v>
      </c>
      <c r="M73" s="1" t="s">
        <v>150</v>
      </c>
      <c r="N73" s="1">
        <v>7</v>
      </c>
      <c r="O73" s="1" t="s">
        <v>28</v>
      </c>
      <c r="P73" s="13" t="s">
        <v>130</v>
      </c>
      <c r="R73" t="s">
        <v>156</v>
      </c>
      <c r="S73" s="1" t="s">
        <v>155</v>
      </c>
      <c r="T73" s="1">
        <v>2</v>
      </c>
      <c r="U73" s="1">
        <v>3</v>
      </c>
      <c r="V73" s="16" t="s">
        <v>147</v>
      </c>
      <c r="AE73" s="1">
        <v>70</v>
      </c>
      <c r="AF73" s="4" t="s">
        <v>97</v>
      </c>
      <c r="AG73" s="4" t="s">
        <v>96</v>
      </c>
      <c r="AH73" s="4" t="s">
        <v>28</v>
      </c>
      <c r="AJ73" s="29"/>
      <c r="AK73" s="1"/>
      <c r="AL73" s="28"/>
      <c r="AM73" s="1"/>
      <c r="AN73" s="1"/>
      <c r="AP73" s="13"/>
      <c r="AQ73" s="1">
        <v>70</v>
      </c>
      <c r="AR73" s="86" t="s">
        <v>833</v>
      </c>
      <c r="AS73" s="4" t="s">
        <v>28</v>
      </c>
      <c r="AX73" s="1"/>
    </row>
    <row r="74" spans="1:50" x14ac:dyDescent="0.2">
      <c r="A74" s="121" t="s">
        <v>881</v>
      </c>
      <c r="B74" s="110" t="str">
        <f>IF(B66="FL-1, FL-2, FL-3", VLOOKUP(B68,$AW$2:$AZ$54,2,FALSE),IF(B66="FL-4, FL-5, FL-6",VLOOKUP(B68,$AW$2:$AZ$54,2,FALSE),VLOOKUP(B68,$AE$2:$AH$113,2,FALSE)))</f>
        <v xml:space="preserve"> </v>
      </c>
      <c r="C74" s="107" t="str">
        <f>IF(B74=" "," ","Reference Value Only")</f>
        <v xml:space="preserve"> </v>
      </c>
      <c r="D74" s="6"/>
      <c r="E74" s="6"/>
      <c r="F74" s="6"/>
      <c r="G74" s="6"/>
      <c r="H74">
        <v>49</v>
      </c>
      <c r="K74" t="s">
        <v>44</v>
      </c>
      <c r="L74" s="1">
        <f>IF($B$2="Escort",2,IF($B$2="Destroyer",2,3))</f>
        <v>3</v>
      </c>
      <c r="M74" s="1" t="s">
        <v>138</v>
      </c>
      <c r="N74" s="1">
        <v>4</v>
      </c>
      <c r="O74" s="1" t="s">
        <v>20</v>
      </c>
      <c r="P74" s="13" t="s">
        <v>130</v>
      </c>
      <c r="R74" t="s">
        <v>149</v>
      </c>
      <c r="S74" s="1" t="s">
        <v>148</v>
      </c>
      <c r="T74" s="1">
        <v>3</v>
      </c>
      <c r="U74" s="1">
        <v>4</v>
      </c>
      <c r="V74" s="16" t="s">
        <v>147</v>
      </c>
      <c r="AE74" s="1">
        <v>71</v>
      </c>
      <c r="AF74" s="4" t="s">
        <v>97</v>
      </c>
      <c r="AG74" s="4" t="s">
        <v>96</v>
      </c>
      <c r="AH74" s="4" t="s">
        <v>28</v>
      </c>
      <c r="AJ74" s="29"/>
      <c r="AK74" s="1"/>
      <c r="AL74" s="28"/>
      <c r="AM74" s="1"/>
      <c r="AN74" s="1"/>
      <c r="AP74" s="13"/>
      <c r="AQ74" s="1">
        <v>71</v>
      </c>
      <c r="AR74" s="86" t="s">
        <v>833</v>
      </c>
      <c r="AS74" s="4" t="s">
        <v>28</v>
      </c>
      <c r="AX74" s="1"/>
    </row>
    <row r="75" spans="1:50" x14ac:dyDescent="0.2">
      <c r="A75" s="121" t="s">
        <v>882</v>
      </c>
      <c r="B75" s="110" t="str">
        <f>IF(B66="FL-1, FL-2, FL-3", VLOOKUP(B68,$AW$2:$AZ$54,4,FALSE),IF(B66="FL-4, FL-5, FL-6",VLOOKUP(B68,$AW$2:$AZ$54,4,FALSE),VLOOKUP(B68,$AE$2:$AH$113,4,FALSE)))</f>
        <v xml:space="preserve"> </v>
      </c>
      <c r="C75" s="9" t="str">
        <f>IF(B75=" "," ","Reference Value Only")</f>
        <v xml:space="preserve"> </v>
      </c>
      <c r="D75" s="15"/>
      <c r="E75" s="6"/>
      <c r="F75" s="6"/>
      <c r="G75" s="6"/>
      <c r="H75">
        <v>50</v>
      </c>
      <c r="K75" t="s">
        <v>142</v>
      </c>
      <c r="L75" s="1">
        <f>IF($B$2="Escort",3,IF($B$2="Destroyer",3,4))</f>
        <v>4</v>
      </c>
      <c r="M75" s="1" t="s">
        <v>138</v>
      </c>
      <c r="N75" s="1">
        <v>8</v>
      </c>
      <c r="O75" s="1" t="s">
        <v>20</v>
      </c>
      <c r="P75" s="13" t="s">
        <v>130</v>
      </c>
      <c r="R75" t="s">
        <v>145</v>
      </c>
      <c r="S75" s="1"/>
      <c r="T75" s="1"/>
      <c r="U75" s="1"/>
      <c r="V75" s="16"/>
      <c r="AE75" s="1">
        <v>72</v>
      </c>
      <c r="AF75" s="4" t="s">
        <v>97</v>
      </c>
      <c r="AG75" s="4" t="s">
        <v>96</v>
      </c>
      <c r="AH75" s="4" t="s">
        <v>28</v>
      </c>
      <c r="AJ75" s="29"/>
      <c r="AK75" s="1"/>
      <c r="AL75" s="28"/>
      <c r="AM75" s="1"/>
      <c r="AN75" s="1"/>
      <c r="AP75" s="13"/>
      <c r="AQ75" s="1">
        <v>72</v>
      </c>
      <c r="AR75" s="86" t="s">
        <v>833</v>
      </c>
      <c r="AS75" s="4" t="s">
        <v>28</v>
      </c>
      <c r="AX75" s="1"/>
    </row>
    <row r="76" spans="1:50" x14ac:dyDescent="0.2">
      <c r="A76" s="92"/>
      <c r="B76" s="15"/>
      <c r="C76" s="6"/>
      <c r="D76" s="6"/>
      <c r="E76" s="133"/>
      <c r="F76" s="133"/>
      <c r="G76" s="133"/>
      <c r="K76" t="s">
        <v>41</v>
      </c>
      <c r="L76" s="1">
        <f>IF($B$2="Escort",4,IF($B$2="Destroyer",4,5))</f>
        <v>5</v>
      </c>
      <c r="M76" s="1" t="s">
        <v>138</v>
      </c>
      <c r="N76" s="1">
        <v>9</v>
      </c>
      <c r="O76" s="1" t="s">
        <v>28</v>
      </c>
      <c r="P76" s="13" t="s">
        <v>130</v>
      </c>
      <c r="R76" t="s">
        <v>141</v>
      </c>
      <c r="S76" s="1" t="s">
        <v>140</v>
      </c>
      <c r="T76" s="1">
        <v>2</v>
      </c>
      <c r="U76" s="1">
        <v>4</v>
      </c>
      <c r="V76" s="16" t="s">
        <v>125</v>
      </c>
      <c r="AE76" s="1">
        <v>73</v>
      </c>
      <c r="AF76" s="4" t="s">
        <v>97</v>
      </c>
      <c r="AG76" s="4" t="s">
        <v>96</v>
      </c>
      <c r="AH76" s="4" t="s">
        <v>28</v>
      </c>
      <c r="AJ76" s="29"/>
      <c r="AK76" s="1"/>
      <c r="AL76" s="28"/>
      <c r="AM76" s="1"/>
      <c r="AN76" s="1"/>
      <c r="AP76" s="13"/>
      <c r="AQ76" s="1">
        <v>73</v>
      </c>
      <c r="AR76" s="86" t="s">
        <v>833</v>
      </c>
      <c r="AS76" s="4" t="s">
        <v>28</v>
      </c>
      <c r="AX76" s="1"/>
    </row>
    <row r="77" spans="1:50" x14ac:dyDescent="0.2">
      <c r="A77" s="121" t="s">
        <v>884</v>
      </c>
      <c r="B77" s="114" t="str">
        <f>VLOOKUP(H78,AE3:AH113,2)</f>
        <v xml:space="preserve"> </v>
      </c>
      <c r="C77" s="6"/>
      <c r="D77" s="6"/>
      <c r="E77" s="6"/>
      <c r="F77" s="6"/>
      <c r="G77" s="6"/>
      <c r="H77" s="100" t="s">
        <v>885</v>
      </c>
      <c r="K77" t="s">
        <v>26</v>
      </c>
      <c r="L77" s="1">
        <f>IF($B$2="Escort",5,IF($B$2="Destroyer",5,6))</f>
        <v>6</v>
      </c>
      <c r="M77" s="1" t="s">
        <v>135</v>
      </c>
      <c r="N77" s="1">
        <v>10</v>
      </c>
      <c r="O77" s="1" t="s">
        <v>28</v>
      </c>
      <c r="P77" s="13" t="s">
        <v>130</v>
      </c>
      <c r="R77" t="s">
        <v>137</v>
      </c>
      <c r="S77" s="1" t="s">
        <v>136</v>
      </c>
      <c r="T77" s="1">
        <v>3</v>
      </c>
      <c r="U77" s="1">
        <v>6</v>
      </c>
      <c r="V77" s="16" t="s">
        <v>125</v>
      </c>
      <c r="AE77" s="1">
        <v>74</v>
      </c>
      <c r="AF77" s="4" t="s">
        <v>97</v>
      </c>
      <c r="AG77" s="4" t="s">
        <v>96</v>
      </c>
      <c r="AH77" s="4" t="s">
        <v>28</v>
      </c>
      <c r="AJ77" s="29"/>
      <c r="AK77" s="1"/>
      <c r="AL77" s="28"/>
      <c r="AM77" s="1"/>
      <c r="AN77" s="1"/>
      <c r="AP77" s="13"/>
      <c r="AQ77" s="1">
        <v>74</v>
      </c>
      <c r="AR77" s="86" t="s">
        <v>833</v>
      </c>
      <c r="AS77" s="4" t="s">
        <v>28</v>
      </c>
      <c r="AX77" s="1"/>
    </row>
    <row r="78" spans="1:50" x14ac:dyDescent="0.2">
      <c r="A78" s="121" t="s">
        <v>896</v>
      </c>
      <c r="B78" s="114" t="str">
        <f>VLOOKUP(H78,AE3:AH113,4)</f>
        <v xml:space="preserve"> </v>
      </c>
      <c r="C78" s="6"/>
      <c r="D78" s="6"/>
      <c r="E78" s="6"/>
      <c r="F78" s="6"/>
      <c r="G78" s="6"/>
      <c r="H78">
        <f>B56+B68</f>
        <v>0</v>
      </c>
      <c r="K78" t="s">
        <v>17</v>
      </c>
      <c r="L78" s="1">
        <f>IF($B$2="Escort",6,IF($B$2="Destroyer",6,7))</f>
        <v>7</v>
      </c>
      <c r="M78" s="1" t="s">
        <v>131</v>
      </c>
      <c r="N78" s="1">
        <v>10</v>
      </c>
      <c r="O78" s="1" t="s">
        <v>0</v>
      </c>
      <c r="P78" s="13" t="s">
        <v>130</v>
      </c>
      <c r="S78" s="1"/>
      <c r="T78" s="1"/>
      <c r="U78" s="1"/>
      <c r="V78" s="16"/>
      <c r="AE78" s="17">
        <v>75</v>
      </c>
      <c r="AF78" s="23" t="s">
        <v>34</v>
      </c>
      <c r="AG78" s="2" t="s">
        <v>33</v>
      </c>
      <c r="AH78" s="2" t="s">
        <v>0</v>
      </c>
      <c r="AJ78" s="29"/>
      <c r="AK78" s="1"/>
      <c r="AL78" s="28"/>
      <c r="AM78" s="1"/>
      <c r="AN78" s="1"/>
      <c r="AP78" s="13"/>
      <c r="AQ78" s="17">
        <v>75</v>
      </c>
      <c r="AR78" s="23" t="s">
        <v>834</v>
      </c>
      <c r="AS78" s="2" t="s">
        <v>0</v>
      </c>
      <c r="AX78" s="1"/>
    </row>
    <row r="79" spans="1:50" x14ac:dyDescent="0.2">
      <c r="A79" s="92"/>
      <c r="B79" s="6"/>
      <c r="C79" s="6"/>
      <c r="D79" s="6"/>
      <c r="E79" s="6"/>
      <c r="F79" s="6"/>
      <c r="G79" s="6"/>
      <c r="I79" t="str">
        <f>IF(($B$8*0.25)&gt;=15,15,"Min. 5 Structure Needed; Max. 25%")</f>
        <v>Min. 5 Structure Needed; Max. 25%</v>
      </c>
      <c r="K79" s="26" t="s">
        <v>123</v>
      </c>
      <c r="R79" t="s">
        <v>134</v>
      </c>
      <c r="S79" s="1" t="s">
        <v>133</v>
      </c>
      <c r="T79" s="1">
        <v>3</v>
      </c>
      <c r="U79" s="1">
        <v>6</v>
      </c>
      <c r="V79" s="16" t="s">
        <v>125</v>
      </c>
      <c r="AE79" s="1">
        <v>76</v>
      </c>
      <c r="AF79" s="18" t="s">
        <v>34</v>
      </c>
      <c r="AG79" s="4" t="s">
        <v>33</v>
      </c>
      <c r="AH79" s="4" t="s">
        <v>0</v>
      </c>
      <c r="AJ79" s="14"/>
      <c r="AP79" s="13" t="s">
        <v>113</v>
      </c>
      <c r="AQ79" s="1">
        <v>76</v>
      </c>
      <c r="AR79" s="87" t="s">
        <v>834</v>
      </c>
      <c r="AS79" s="4" t="s">
        <v>0</v>
      </c>
      <c r="AX79" s="1"/>
    </row>
    <row r="80" spans="1:50" x14ac:dyDescent="0.2">
      <c r="A80" s="117" t="s">
        <v>900</v>
      </c>
      <c r="B80" s="117"/>
      <c r="C80" s="117"/>
      <c r="D80" s="117"/>
      <c r="E80" s="5"/>
      <c r="F80" s="5"/>
      <c r="G80" s="5"/>
      <c r="H80" s="100" t="s">
        <v>894</v>
      </c>
      <c r="J80" s="13"/>
      <c r="K80" t="s">
        <v>117</v>
      </c>
      <c r="L80" t="s">
        <v>47</v>
      </c>
      <c r="M80" t="s">
        <v>116</v>
      </c>
      <c r="N80" t="s">
        <v>115</v>
      </c>
      <c r="O80" t="s">
        <v>113</v>
      </c>
      <c r="R80" t="s">
        <v>129</v>
      </c>
      <c r="S80" s="1" t="s">
        <v>128</v>
      </c>
      <c r="T80" s="1">
        <v>4</v>
      </c>
      <c r="U80" s="1">
        <v>7</v>
      </c>
      <c r="V80" s="16" t="s">
        <v>125</v>
      </c>
      <c r="AE80" s="1">
        <v>77</v>
      </c>
      <c r="AF80" s="18" t="s">
        <v>34</v>
      </c>
      <c r="AG80" s="4" t="s">
        <v>33</v>
      </c>
      <c r="AH80" s="4" t="s">
        <v>0</v>
      </c>
      <c r="AJ80" s="14"/>
      <c r="AP80" s="13" t="s">
        <v>113</v>
      </c>
      <c r="AQ80" s="1">
        <v>77</v>
      </c>
      <c r="AR80" s="87" t="s">
        <v>834</v>
      </c>
      <c r="AS80" s="4" t="s">
        <v>0</v>
      </c>
      <c r="AX80" s="1"/>
    </row>
    <row r="81" spans="1:50" x14ac:dyDescent="0.2">
      <c r="A81" s="121" t="s">
        <v>898</v>
      </c>
      <c r="B81" s="81" t="s">
        <v>10</v>
      </c>
      <c r="C81" s="121" t="s">
        <v>152</v>
      </c>
      <c r="D81" s="1"/>
      <c r="E81" s="6"/>
      <c r="F81" s="6"/>
      <c r="G81" s="6"/>
      <c r="H81">
        <f>B83+B93</f>
        <v>0</v>
      </c>
      <c r="K81" t="s">
        <v>10</v>
      </c>
      <c r="L81" s="1"/>
      <c r="M81" s="1">
        <v>0</v>
      </c>
      <c r="N81" s="1">
        <v>0</v>
      </c>
      <c r="O81" s="4" t="s">
        <v>113</v>
      </c>
      <c r="P81" t="s">
        <v>113</v>
      </c>
      <c r="R81" t="s">
        <v>127</v>
      </c>
      <c r="S81" s="1" t="s">
        <v>126</v>
      </c>
      <c r="T81" s="1">
        <v>8</v>
      </c>
      <c r="U81" s="1" t="s">
        <v>121</v>
      </c>
      <c r="V81" s="16" t="s">
        <v>125</v>
      </c>
      <c r="AE81" s="1">
        <v>78</v>
      </c>
      <c r="AF81" s="18" t="s">
        <v>34</v>
      </c>
      <c r="AG81" s="4" t="s">
        <v>33</v>
      </c>
      <c r="AH81" s="4" t="s">
        <v>0</v>
      </c>
      <c r="AJ81" s="14"/>
      <c r="AP81" s="13" t="s">
        <v>113</v>
      </c>
      <c r="AQ81" s="1">
        <v>78</v>
      </c>
      <c r="AR81" s="87" t="s">
        <v>834</v>
      </c>
      <c r="AS81" s="4" t="s">
        <v>0</v>
      </c>
      <c r="AX81" s="1"/>
    </row>
    <row r="82" spans="1:50" x14ac:dyDescent="0.2">
      <c r="A82" s="121" t="s">
        <v>79</v>
      </c>
      <c r="B82" s="114">
        <f>D82*D81</f>
        <v>0</v>
      </c>
      <c r="C82" s="121" t="s">
        <v>146</v>
      </c>
      <c r="D82" s="114">
        <f>VLOOKUP(B81,$O$25:$T$40,2,FALSE)</f>
        <v>0</v>
      </c>
      <c r="E82" s="6"/>
      <c r="F82" s="6"/>
      <c r="G82" s="6"/>
      <c r="J82" s="24"/>
      <c r="K82" t="s">
        <v>109</v>
      </c>
      <c r="L82" s="1"/>
      <c r="M82" s="1"/>
      <c r="N82" s="1"/>
      <c r="O82" s="1"/>
      <c r="R82" t="s">
        <v>122</v>
      </c>
      <c r="S82" s="1"/>
      <c r="T82" s="1">
        <v>5</v>
      </c>
      <c r="U82" s="1" t="s">
        <v>121</v>
      </c>
      <c r="V82" s="16" t="s">
        <v>120</v>
      </c>
      <c r="AE82" s="1">
        <v>79</v>
      </c>
      <c r="AF82" s="18" t="s">
        <v>34</v>
      </c>
      <c r="AG82" s="4" t="s">
        <v>33</v>
      </c>
      <c r="AH82" s="4" t="s">
        <v>0</v>
      </c>
      <c r="AJ82" s="14"/>
      <c r="AO82" s="1"/>
      <c r="AP82" s="13" t="s">
        <v>113</v>
      </c>
      <c r="AQ82" s="1">
        <v>79</v>
      </c>
      <c r="AR82" s="87" t="s">
        <v>834</v>
      </c>
      <c r="AS82" s="4" t="s">
        <v>0</v>
      </c>
      <c r="AX82" s="1"/>
    </row>
    <row r="83" spans="1:50" x14ac:dyDescent="0.2">
      <c r="A83" s="121" t="s">
        <v>144</v>
      </c>
      <c r="B83" s="114">
        <f>D83*D81</f>
        <v>0</v>
      </c>
      <c r="C83" s="121" t="s">
        <v>143</v>
      </c>
      <c r="D83" s="114">
        <f>VLOOKUP(B81,$O$25:$T$40,3,FALSE)</f>
        <v>0</v>
      </c>
      <c r="E83" s="6"/>
      <c r="F83" s="6"/>
      <c r="G83" s="6"/>
      <c r="J83" s="20"/>
      <c r="K83" s="13" t="s">
        <v>756</v>
      </c>
      <c r="L83" s="1">
        <f>ROUNDDOWN(($B$5/2),0)</f>
        <v>0</v>
      </c>
      <c r="M83" s="16" t="s">
        <v>104</v>
      </c>
      <c r="N83" s="1">
        <v>2</v>
      </c>
      <c r="O83" s="1" t="s">
        <v>53</v>
      </c>
      <c r="P83" s="13" t="s">
        <v>15</v>
      </c>
      <c r="R83" t="s">
        <v>114</v>
      </c>
      <c r="S83" s="1"/>
      <c r="T83" s="1"/>
      <c r="U83" s="1"/>
      <c r="V83" s="16"/>
      <c r="AE83" s="1">
        <v>80</v>
      </c>
      <c r="AF83" s="18" t="s">
        <v>34</v>
      </c>
      <c r="AG83" s="4" t="s">
        <v>33</v>
      </c>
      <c r="AH83" s="4" t="s">
        <v>0</v>
      </c>
      <c r="AJ83" s="14"/>
      <c r="AO83" s="27" t="s">
        <v>113</v>
      </c>
      <c r="AP83" s="13" t="s">
        <v>113</v>
      </c>
      <c r="AQ83" s="1">
        <v>80</v>
      </c>
      <c r="AR83" s="87" t="s">
        <v>834</v>
      </c>
      <c r="AS83" s="4" t="s">
        <v>0</v>
      </c>
      <c r="AX83" s="1"/>
    </row>
    <row r="84" spans="1:50" x14ac:dyDescent="0.2">
      <c r="A84" s="121" t="s">
        <v>139</v>
      </c>
      <c r="B84" s="114">
        <f>VLOOKUP(B81,$O$25:$T$40,4,FALSE)</f>
        <v>0</v>
      </c>
      <c r="C84" s="107" t="str">
        <f>IF(B84&gt;$B$5,"Weapon Too Large for Ship Size","Meets Min. Ship Size Restriction")</f>
        <v>Meets Min. Ship Size Restriction</v>
      </c>
      <c r="D84" s="15"/>
      <c r="E84" s="6"/>
      <c r="F84" s="6"/>
      <c r="G84" s="6"/>
      <c r="J84" s="20"/>
      <c r="K84" s="116" t="s">
        <v>937</v>
      </c>
      <c r="L84" s="1">
        <f>ROUNDDOWN(($B$5/2),0)</f>
        <v>0</v>
      </c>
      <c r="M84" s="16" t="s">
        <v>100</v>
      </c>
      <c r="N84" s="1">
        <v>4</v>
      </c>
      <c r="O84" s="1" t="s">
        <v>39</v>
      </c>
      <c r="P84" s="13" t="s">
        <v>15</v>
      </c>
      <c r="R84" t="s">
        <v>112</v>
      </c>
      <c r="S84" s="1" t="s">
        <v>111</v>
      </c>
      <c r="T84" s="1">
        <v>4</v>
      </c>
      <c r="U84" s="1">
        <v>6</v>
      </c>
      <c r="V84" s="16" t="s">
        <v>69</v>
      </c>
      <c r="AE84" s="1">
        <v>81</v>
      </c>
      <c r="AF84" s="18" t="s">
        <v>34</v>
      </c>
      <c r="AG84" s="4" t="s">
        <v>33</v>
      </c>
      <c r="AH84" s="4" t="s">
        <v>0</v>
      </c>
      <c r="AJ84" s="14"/>
      <c r="AQ84" s="1">
        <v>81</v>
      </c>
      <c r="AR84" s="87" t="s">
        <v>834</v>
      </c>
      <c r="AS84" s="4" t="s">
        <v>0</v>
      </c>
      <c r="AX84" s="1"/>
    </row>
    <row r="85" spans="1:50" x14ac:dyDescent="0.2">
      <c r="A85" s="121" t="s">
        <v>60</v>
      </c>
      <c r="B85" s="114" t="str">
        <f>VLOOKUP(B81,$O$25:$T$40,5,FALSE)</f>
        <v xml:space="preserve"> </v>
      </c>
      <c r="C85" s="6"/>
      <c r="D85" s="6"/>
      <c r="E85" s="6"/>
      <c r="F85" s="6"/>
      <c r="G85" s="6"/>
      <c r="J85" s="20"/>
      <c r="K85" s="13" t="s">
        <v>757</v>
      </c>
      <c r="L85" s="1">
        <f>ROUNDDOWN((($B$5/2)+1),0)</f>
        <v>1</v>
      </c>
      <c r="M85" s="16" t="s">
        <v>93</v>
      </c>
      <c r="N85" s="1">
        <v>6</v>
      </c>
      <c r="O85" s="1" t="s">
        <v>39</v>
      </c>
      <c r="P85" s="13" t="s">
        <v>15</v>
      </c>
      <c r="R85" t="s">
        <v>108</v>
      </c>
      <c r="S85" s="1" t="s">
        <v>107</v>
      </c>
      <c r="T85" s="1">
        <v>2</v>
      </c>
      <c r="U85" s="1">
        <v>2</v>
      </c>
      <c r="V85" s="16" t="s">
        <v>69</v>
      </c>
      <c r="AE85" s="1">
        <v>82</v>
      </c>
      <c r="AF85" s="18" t="s">
        <v>34</v>
      </c>
      <c r="AG85" s="4" t="s">
        <v>33</v>
      </c>
      <c r="AH85" s="4" t="s">
        <v>0</v>
      </c>
      <c r="AJ85" s="14"/>
      <c r="AQ85" s="1">
        <v>82</v>
      </c>
      <c r="AR85" s="87" t="s">
        <v>834</v>
      </c>
      <c r="AS85" s="4" t="s">
        <v>0</v>
      </c>
      <c r="AX85" s="1"/>
    </row>
    <row r="86" spans="1:50" x14ac:dyDescent="0.2">
      <c r="A86" s="121"/>
      <c r="B86" s="114" t="str">
        <f>VLOOKUP(B81,$O$25:$T$40,6,FALSE)</f>
        <v xml:space="preserve"> </v>
      </c>
      <c r="C86" s="6"/>
      <c r="D86" s="6"/>
      <c r="E86" s="6"/>
      <c r="F86" s="6"/>
      <c r="G86" s="6"/>
      <c r="J86" s="20"/>
      <c r="K86" s="13" t="s">
        <v>758</v>
      </c>
      <c r="L86" s="1">
        <f>ROUNDDOWN((($B$5/2)+2),0)</f>
        <v>2</v>
      </c>
      <c r="M86" s="16" t="s">
        <v>88</v>
      </c>
      <c r="N86" s="1">
        <v>5</v>
      </c>
      <c r="O86" s="1" t="s">
        <v>20</v>
      </c>
      <c r="P86" s="13" t="s">
        <v>15</v>
      </c>
      <c r="R86" t="s">
        <v>103</v>
      </c>
      <c r="S86" s="1" t="s">
        <v>102</v>
      </c>
      <c r="T86" s="1">
        <v>1</v>
      </c>
      <c r="U86" s="1">
        <v>2</v>
      </c>
      <c r="V86" s="16" t="s">
        <v>69</v>
      </c>
      <c r="AE86" s="1">
        <v>83</v>
      </c>
      <c r="AF86" s="18" t="s">
        <v>34</v>
      </c>
      <c r="AG86" s="4" t="s">
        <v>33</v>
      </c>
      <c r="AH86" s="4" t="s">
        <v>0</v>
      </c>
      <c r="AJ86" s="14"/>
      <c r="AQ86" s="1">
        <v>83</v>
      </c>
      <c r="AR86" s="87" t="s">
        <v>834</v>
      </c>
      <c r="AS86" s="4" t="s">
        <v>0</v>
      </c>
      <c r="AX86" s="1"/>
    </row>
    <row r="87" spans="1:50" x14ac:dyDescent="0.2">
      <c r="A87" s="121"/>
      <c r="B87" s="15"/>
      <c r="C87" s="6"/>
      <c r="D87" s="6"/>
      <c r="E87" s="6"/>
      <c r="F87" s="6"/>
      <c r="G87" s="6"/>
      <c r="J87" s="20"/>
      <c r="K87" s="22" t="s">
        <v>759</v>
      </c>
      <c r="L87" s="1">
        <f>ROUNDDOWN((($B$5/2)+3),0)</f>
        <v>3</v>
      </c>
      <c r="M87" s="16" t="s">
        <v>82</v>
      </c>
      <c r="N87" s="1">
        <v>7</v>
      </c>
      <c r="O87" s="1" t="s">
        <v>20</v>
      </c>
      <c r="P87" s="13" t="s">
        <v>15</v>
      </c>
      <c r="R87" t="s">
        <v>99</v>
      </c>
      <c r="S87" s="1" t="s">
        <v>98</v>
      </c>
      <c r="T87" s="1">
        <v>1</v>
      </c>
      <c r="U87" s="1">
        <v>2</v>
      </c>
      <c r="V87" s="16" t="s">
        <v>69</v>
      </c>
      <c r="AE87" s="1">
        <v>84</v>
      </c>
      <c r="AF87" s="18" t="s">
        <v>34</v>
      </c>
      <c r="AG87" s="4" t="s">
        <v>33</v>
      </c>
      <c r="AH87" s="4" t="s">
        <v>0</v>
      </c>
      <c r="AJ87" s="14"/>
      <c r="AQ87" s="1">
        <v>84</v>
      </c>
      <c r="AR87" s="87" t="s">
        <v>834</v>
      </c>
      <c r="AS87" s="4" t="s">
        <v>0</v>
      </c>
      <c r="AX87" s="1"/>
    </row>
    <row r="88" spans="1:50" x14ac:dyDescent="0.2">
      <c r="A88" s="121" t="s">
        <v>124</v>
      </c>
      <c r="B88" s="110" t="str">
        <f>IF($B$81="FAC-1, FAC-2", VLOOKUP(B83,$AW$2:$AZ$54,3,FALSE),IF(B81="FAC-3",VLOOKUP(B83,$AW$2:$AZ$54,3,FALSE),VLOOKUP(B83,$AE$2:$AH$113,3,FALSE)))</f>
        <v xml:space="preserve"> </v>
      </c>
      <c r="C88" s="107" t="str">
        <f>IF(B88=" "," ","Reference Value Only")</f>
        <v xml:space="preserve"> </v>
      </c>
      <c r="D88" s="6"/>
      <c r="E88" s="6"/>
      <c r="F88" s="6"/>
      <c r="G88" s="6"/>
      <c r="J88" s="20"/>
      <c r="K88" s="13" t="s">
        <v>760</v>
      </c>
      <c r="L88" s="1">
        <f>ROUNDDOWN((($B$5/2)+4),0)</f>
        <v>4</v>
      </c>
      <c r="M88" s="16" t="s">
        <v>43</v>
      </c>
      <c r="N88" s="1">
        <v>7</v>
      </c>
      <c r="O88" s="1" t="s">
        <v>20</v>
      </c>
      <c r="P88" s="13" t="s">
        <v>15</v>
      </c>
      <c r="R88" t="s">
        <v>92</v>
      </c>
      <c r="S88" s="1" t="s">
        <v>91</v>
      </c>
      <c r="T88" s="1">
        <v>5</v>
      </c>
      <c r="U88" s="1">
        <v>8</v>
      </c>
      <c r="V88" s="16" t="s">
        <v>69</v>
      </c>
      <c r="AE88" s="1">
        <v>85</v>
      </c>
      <c r="AF88" s="18" t="s">
        <v>34</v>
      </c>
      <c r="AG88" s="4" t="s">
        <v>33</v>
      </c>
      <c r="AH88" s="4" t="s">
        <v>0</v>
      </c>
      <c r="AJ88" s="14"/>
      <c r="AQ88" s="1">
        <v>85</v>
      </c>
      <c r="AR88" s="87" t="s">
        <v>834</v>
      </c>
      <c r="AS88" s="4" t="s">
        <v>0</v>
      </c>
      <c r="AX88" s="1"/>
    </row>
    <row r="89" spans="1:50" x14ac:dyDescent="0.2">
      <c r="A89" s="121" t="s">
        <v>886</v>
      </c>
      <c r="B89" s="110" t="str">
        <f>IF($B$81="FAC-1, FAC-2", VLOOKUP($B$83,$AW$2:$AZ$54,4,FALSE),IF($B$81="FAC-3",VLOOKUP($B$83,$AW$2:$AZ$54,4,FALSE),VLOOKUP($B$83,$AE$2:$AH$113,4,FALSE)))</f>
        <v xml:space="preserve"> </v>
      </c>
      <c r="C89" s="107" t="str">
        <f>IF(B89=" "," ","Reference Value Only")</f>
        <v xml:space="preserve"> </v>
      </c>
      <c r="D89" s="15"/>
      <c r="E89" s="6"/>
      <c r="F89" s="6"/>
      <c r="G89" s="6"/>
      <c r="J89" s="20"/>
      <c r="K89" s="13" t="s">
        <v>761</v>
      </c>
      <c r="L89" s="1">
        <f>ROUNDDOWN((($B$5/2)+4),0)</f>
        <v>4</v>
      </c>
      <c r="M89" s="16" t="s">
        <v>72</v>
      </c>
      <c r="N89" s="1">
        <v>6</v>
      </c>
      <c r="O89" s="1" t="s">
        <v>28</v>
      </c>
      <c r="P89" s="13" t="s">
        <v>15</v>
      </c>
      <c r="R89" t="s">
        <v>87</v>
      </c>
      <c r="S89" s="1" t="s">
        <v>86</v>
      </c>
      <c r="T89" s="1">
        <v>4</v>
      </c>
      <c r="U89" s="1">
        <v>7</v>
      </c>
      <c r="V89" s="16" t="s">
        <v>69</v>
      </c>
      <c r="AE89" s="1">
        <v>86</v>
      </c>
      <c r="AF89" s="18" t="s">
        <v>34</v>
      </c>
      <c r="AG89" s="4" t="s">
        <v>33</v>
      </c>
      <c r="AH89" s="4" t="s">
        <v>0</v>
      </c>
      <c r="AJ89" s="14"/>
      <c r="AQ89" s="1">
        <v>86</v>
      </c>
      <c r="AR89" s="87" t="s">
        <v>834</v>
      </c>
      <c r="AS89" s="4" t="s">
        <v>0</v>
      </c>
      <c r="AX89" s="1"/>
    </row>
    <row r="90" spans="1:50" x14ac:dyDescent="0.2">
      <c r="A90" s="121"/>
      <c r="B90" s="93"/>
      <c r="C90" s="93"/>
      <c r="D90" s="15"/>
      <c r="E90" s="6"/>
      <c r="F90" s="6"/>
      <c r="G90" s="6"/>
      <c r="J90" s="20"/>
      <c r="K90" s="13" t="s">
        <v>762</v>
      </c>
      <c r="L90" s="1">
        <f>ROUNDDOWN((($B$5/2)+5),0)</f>
        <v>5</v>
      </c>
      <c r="M90" s="16" t="s">
        <v>40</v>
      </c>
      <c r="N90" s="1">
        <v>10</v>
      </c>
      <c r="O90" s="1" t="s">
        <v>28</v>
      </c>
      <c r="P90" s="13" t="s">
        <v>15</v>
      </c>
      <c r="R90" t="s">
        <v>81</v>
      </c>
      <c r="S90" s="1" t="s">
        <v>80</v>
      </c>
      <c r="T90" s="1">
        <v>3</v>
      </c>
      <c r="U90" s="1">
        <v>6</v>
      </c>
      <c r="V90" s="16" t="s">
        <v>69</v>
      </c>
      <c r="AE90" s="1">
        <v>87</v>
      </c>
      <c r="AF90" s="18" t="s">
        <v>34</v>
      </c>
      <c r="AG90" s="4" t="s">
        <v>33</v>
      </c>
      <c r="AH90" s="4" t="s">
        <v>0</v>
      </c>
      <c r="AJ90" s="14"/>
      <c r="AQ90" s="1">
        <v>87</v>
      </c>
      <c r="AR90" s="87" t="s">
        <v>834</v>
      </c>
      <c r="AS90" s="4" t="s">
        <v>0</v>
      </c>
      <c r="AX90" s="1"/>
    </row>
    <row r="91" spans="1:50" x14ac:dyDescent="0.2">
      <c r="A91" s="121" t="s">
        <v>899</v>
      </c>
      <c r="B91" s="81" t="s">
        <v>10</v>
      </c>
      <c r="C91" s="121" t="s">
        <v>152</v>
      </c>
      <c r="D91" s="1"/>
      <c r="E91" s="6"/>
      <c r="F91" s="6"/>
      <c r="G91" s="6"/>
      <c r="J91" s="20"/>
      <c r="K91" s="13" t="s">
        <v>763</v>
      </c>
      <c r="L91" s="1">
        <f>ROUNDDOWN((($B$5/2)+6),0)</f>
        <v>6</v>
      </c>
      <c r="M91" s="16" t="s">
        <v>61</v>
      </c>
      <c r="N91" s="1">
        <v>8</v>
      </c>
      <c r="O91" s="1" t="s">
        <v>28</v>
      </c>
      <c r="P91" s="13" t="s">
        <v>15</v>
      </c>
      <c r="R91" t="s">
        <v>76</v>
      </c>
      <c r="S91" s="1" t="s">
        <v>75</v>
      </c>
      <c r="T91" s="1">
        <v>4</v>
      </c>
      <c r="U91" s="1">
        <v>7</v>
      </c>
      <c r="V91" s="16" t="s">
        <v>69</v>
      </c>
      <c r="AE91" s="1">
        <v>88</v>
      </c>
      <c r="AF91" s="18" t="s">
        <v>34</v>
      </c>
      <c r="AG91" s="4" t="s">
        <v>33</v>
      </c>
      <c r="AH91" s="4" t="s">
        <v>0</v>
      </c>
      <c r="AJ91" s="14"/>
      <c r="AQ91" s="1">
        <v>88</v>
      </c>
      <c r="AR91" s="87" t="s">
        <v>834</v>
      </c>
      <c r="AS91" s="4" t="s">
        <v>0</v>
      </c>
      <c r="AX91" s="1"/>
    </row>
    <row r="92" spans="1:50" x14ac:dyDescent="0.2">
      <c r="A92" s="121" t="s">
        <v>79</v>
      </c>
      <c r="B92" s="114">
        <f>D92*D91</f>
        <v>0</v>
      </c>
      <c r="C92" s="121" t="s">
        <v>146</v>
      </c>
      <c r="D92" s="114">
        <f>VLOOKUP(B91,$O$25:$T$40,2,FALSE)</f>
        <v>0</v>
      </c>
      <c r="E92" s="6"/>
      <c r="F92" s="6"/>
      <c r="G92" s="6"/>
      <c r="J92" s="20"/>
      <c r="K92" t="s">
        <v>58</v>
      </c>
      <c r="L92" s="1"/>
      <c r="M92" s="16"/>
      <c r="N92" s="1"/>
      <c r="O92" s="1"/>
      <c r="P92" s="13"/>
      <c r="R92" t="s">
        <v>71</v>
      </c>
      <c r="S92" s="1" t="s">
        <v>70</v>
      </c>
      <c r="T92" s="1">
        <v>3</v>
      </c>
      <c r="U92" s="1">
        <v>5</v>
      </c>
      <c r="V92" s="16" t="s">
        <v>69</v>
      </c>
      <c r="AE92" s="1">
        <v>89</v>
      </c>
      <c r="AF92" s="18" t="s">
        <v>34</v>
      </c>
      <c r="AG92" s="4" t="s">
        <v>33</v>
      </c>
      <c r="AH92" s="4" t="s">
        <v>0</v>
      </c>
      <c r="AJ92" s="14"/>
      <c r="AQ92" s="1">
        <v>89</v>
      </c>
      <c r="AR92" s="87" t="s">
        <v>834</v>
      </c>
      <c r="AS92" s="4" t="s">
        <v>0</v>
      </c>
      <c r="AX92" s="1"/>
    </row>
    <row r="93" spans="1:50" x14ac:dyDescent="0.2">
      <c r="A93" s="121" t="s">
        <v>144</v>
      </c>
      <c r="B93" s="114">
        <f>D93*D91</f>
        <v>0</v>
      </c>
      <c r="C93" s="121" t="s">
        <v>143</v>
      </c>
      <c r="D93" s="114">
        <f>VLOOKUP(B91,$O$25:$T$40,3,FALSE)</f>
        <v>0</v>
      </c>
      <c r="E93" s="6"/>
      <c r="F93" s="6"/>
      <c r="G93" s="6"/>
      <c r="J93" s="20"/>
      <c r="K93" t="s">
        <v>57</v>
      </c>
      <c r="L93" s="1">
        <v>1</v>
      </c>
      <c r="M93" s="16" t="s">
        <v>56</v>
      </c>
      <c r="N93" s="1">
        <v>2</v>
      </c>
      <c r="O93" s="1" t="s">
        <v>39</v>
      </c>
      <c r="P93" s="13" t="s">
        <v>15</v>
      </c>
      <c r="S93" s="1"/>
      <c r="T93" s="1"/>
      <c r="U93" s="1"/>
      <c r="V93" s="16"/>
      <c r="AE93" s="17">
        <v>90</v>
      </c>
      <c r="AF93" s="2" t="s">
        <v>5</v>
      </c>
      <c r="AG93" s="2" t="s">
        <v>4</v>
      </c>
      <c r="AH93" s="2" t="s">
        <v>0</v>
      </c>
      <c r="AJ93" s="14"/>
      <c r="AQ93" s="17">
        <v>90</v>
      </c>
      <c r="AR93" s="2" t="s">
        <v>835</v>
      </c>
      <c r="AS93" s="2" t="s">
        <v>0</v>
      </c>
      <c r="AX93" s="1"/>
    </row>
    <row r="94" spans="1:50" x14ac:dyDescent="0.2">
      <c r="A94" s="121" t="s">
        <v>139</v>
      </c>
      <c r="B94" s="114">
        <f>VLOOKUP(B91,$O$25:$T$40,4,FALSE)</f>
        <v>0</v>
      </c>
      <c r="C94" s="107" t="str">
        <f>IF(B94&gt;$B$5,"Weapon Too Large for Ship Size","Meets Min. Ship Size Restriction")</f>
        <v>Meets Min. Ship Size Restriction</v>
      </c>
      <c r="D94" s="15"/>
      <c r="E94" s="6"/>
      <c r="F94" s="6"/>
      <c r="G94" s="6"/>
      <c r="J94" s="20"/>
      <c r="K94" t="s">
        <v>55</v>
      </c>
      <c r="L94" s="1">
        <v>1</v>
      </c>
      <c r="M94" s="16" t="s">
        <v>54</v>
      </c>
      <c r="N94" s="1">
        <v>5</v>
      </c>
      <c r="O94" s="1" t="s">
        <v>53</v>
      </c>
      <c r="P94" s="13" t="s">
        <v>15</v>
      </c>
      <c r="S94" s="1"/>
      <c r="T94" s="1"/>
      <c r="U94" s="1"/>
      <c r="V94" s="16"/>
      <c r="AE94" s="1">
        <v>91</v>
      </c>
      <c r="AF94" s="4" t="s">
        <v>5</v>
      </c>
      <c r="AG94" s="4" t="s">
        <v>4</v>
      </c>
      <c r="AH94" s="4" t="s">
        <v>0</v>
      </c>
      <c r="AJ94" s="14"/>
      <c r="AQ94" s="1">
        <v>91</v>
      </c>
      <c r="AR94" s="86" t="s">
        <v>835</v>
      </c>
      <c r="AS94" s="4" t="s">
        <v>0</v>
      </c>
      <c r="AX94" s="1"/>
    </row>
    <row r="95" spans="1:50" x14ac:dyDescent="0.2">
      <c r="A95" s="121" t="s">
        <v>60</v>
      </c>
      <c r="B95" s="114" t="str">
        <f>VLOOKUP(B91,$O$25:$T$40,5,FALSE)</f>
        <v xml:space="preserve"> </v>
      </c>
      <c r="C95" s="6"/>
      <c r="D95" s="6"/>
      <c r="E95" s="6"/>
      <c r="F95" s="6"/>
      <c r="G95" s="6"/>
      <c r="J95" s="20"/>
      <c r="K95" t="s">
        <v>51</v>
      </c>
      <c r="L95" s="1">
        <f>IF($B$4="Fast Attack",1,IF($B$4="Light",1,IF($B$4="Light Cruiser",1,IF($B$4="Light Escort",1,IF($B$4="Fast Frigate",1,IF($B$4="Light Frigate",1,IF($B$4="Fast/Far Scout",1,2)))))))</f>
        <v>2</v>
      </c>
      <c r="M95" s="16" t="s">
        <v>50</v>
      </c>
      <c r="N95" s="1">
        <v>6</v>
      </c>
      <c r="O95" s="1" t="s">
        <v>39</v>
      </c>
      <c r="P95" s="13" t="s">
        <v>15</v>
      </c>
      <c r="S95" s="1"/>
      <c r="T95" s="1"/>
      <c r="U95" s="1"/>
      <c r="V95" s="16"/>
      <c r="AE95" s="1">
        <v>92</v>
      </c>
      <c r="AF95" s="4" t="s">
        <v>5</v>
      </c>
      <c r="AG95" s="4" t="s">
        <v>4</v>
      </c>
      <c r="AH95" s="4" t="s">
        <v>0</v>
      </c>
      <c r="AJ95" s="14"/>
      <c r="AQ95" s="1">
        <v>92</v>
      </c>
      <c r="AR95" s="86" t="s">
        <v>835</v>
      </c>
      <c r="AS95" s="4" t="s">
        <v>0</v>
      </c>
      <c r="AX95" s="1"/>
    </row>
    <row r="96" spans="1:50" x14ac:dyDescent="0.2">
      <c r="A96" s="121"/>
      <c r="B96" s="114" t="str">
        <f>VLOOKUP(B91,$O$25:$T$40,6,FALSE)</f>
        <v xml:space="preserve"> </v>
      </c>
      <c r="C96" s="6"/>
      <c r="D96" s="6"/>
      <c r="E96" s="6"/>
      <c r="F96" s="6"/>
      <c r="G96" s="6"/>
      <c r="J96" s="20"/>
      <c r="K96" t="s">
        <v>46</v>
      </c>
      <c r="L96" s="1">
        <f>IF($B$4="Fast Attack",2,IF($B$4="Light",2,IF($B$4="Light Cruiser",2,IF($B$4="Light Escort",2,IF($B$4="Fast Frigate",2,IF($B$4="Light Frigate",2,IF($B$4="Fast/Far Scout",2,3)))))))</f>
        <v>3</v>
      </c>
      <c r="M96" s="16" t="s">
        <v>45</v>
      </c>
      <c r="N96" s="1">
        <v>6</v>
      </c>
      <c r="O96" s="1" t="s">
        <v>20</v>
      </c>
      <c r="P96" s="13" t="s">
        <v>15</v>
      </c>
      <c r="S96" s="1"/>
      <c r="T96" s="1"/>
      <c r="U96" s="1"/>
      <c r="V96" s="16"/>
      <c r="AE96" s="1">
        <v>93</v>
      </c>
      <c r="AF96" s="4" t="s">
        <v>5</v>
      </c>
      <c r="AG96" s="4" t="s">
        <v>4</v>
      </c>
      <c r="AH96" s="4" t="s">
        <v>0</v>
      </c>
      <c r="AJ96" s="14"/>
      <c r="AQ96" s="1">
        <v>93</v>
      </c>
      <c r="AR96" s="86" t="s">
        <v>835</v>
      </c>
      <c r="AS96" s="4" t="s">
        <v>0</v>
      </c>
      <c r="AX96" s="1"/>
    </row>
    <row r="97" spans="1:50" x14ac:dyDescent="0.2">
      <c r="A97" s="121"/>
      <c r="B97" s="15"/>
      <c r="C97" s="6"/>
      <c r="D97" s="6"/>
      <c r="E97" s="6"/>
      <c r="F97" s="6"/>
      <c r="G97" s="6"/>
      <c r="J97" s="20"/>
      <c r="K97" t="s">
        <v>44</v>
      </c>
      <c r="L97" s="1">
        <f>IF($B$4="Fast Attack",3,IF($B$4="Light",3,IF($B$4="Light Cruiser",3,IF($B$4="Light Escort",3,IF($B$4="Fast Frigate",3,IF($B$4="Light Frigate",3,IF($B$4="Fast/Far Scout",3,4)))))))</f>
        <v>4</v>
      </c>
      <c r="M97" s="16" t="s">
        <v>43</v>
      </c>
      <c r="N97" s="1">
        <v>7</v>
      </c>
      <c r="O97" s="1" t="s">
        <v>20</v>
      </c>
      <c r="P97" s="13" t="s">
        <v>15</v>
      </c>
      <c r="S97" s="1"/>
      <c r="T97" s="1"/>
      <c r="U97" s="1"/>
      <c r="V97" s="16"/>
      <c r="AE97" s="1">
        <v>94</v>
      </c>
      <c r="AF97" s="4" t="s">
        <v>5</v>
      </c>
      <c r="AG97" s="4" t="s">
        <v>4</v>
      </c>
      <c r="AH97" s="4" t="s">
        <v>0</v>
      </c>
      <c r="AJ97" s="14"/>
      <c r="AQ97" s="1">
        <v>94</v>
      </c>
      <c r="AR97" s="86" t="s">
        <v>835</v>
      </c>
      <c r="AS97" s="4" t="s">
        <v>0</v>
      </c>
      <c r="AX97" s="1"/>
    </row>
    <row r="98" spans="1:50" x14ac:dyDescent="0.2">
      <c r="A98" s="121" t="s">
        <v>124</v>
      </c>
      <c r="B98" s="110" t="str">
        <f>IF(B$1="FAC-1, FAC-2", VLOOKUP(B93,$AW$2:$AZ$54,3,FALSE),IF(B91="FAC-3",VLOOKUP(B93,$AW$2:$AZ$54,3,FALSE),VLOOKUP(B93,$AE$2:$AH$113,3,FALSE)))</f>
        <v xml:space="preserve"> </v>
      </c>
      <c r="C98" s="107" t="str">
        <f>IF(B98=" "," ","Reference Value Only")</f>
        <v xml:space="preserve"> </v>
      </c>
      <c r="D98" s="6"/>
      <c r="E98" s="6"/>
      <c r="F98" s="6"/>
      <c r="G98" s="6"/>
      <c r="J98" s="20"/>
      <c r="K98" t="s">
        <v>41</v>
      </c>
      <c r="L98" s="1">
        <f>IF($B$4="Fast Attack",4,IF($B$4="Light",4,IF($B$4="Light Cruiser",4,IF($B$4="Light Escort",4,IF($B$4="Fast Frigate",4,IF($B$4="Light Frigate",4,IF($B$4="Fast/Far Scout",4,5)))))))</f>
        <v>5</v>
      </c>
      <c r="M98" s="16" t="s">
        <v>40</v>
      </c>
      <c r="N98" s="1">
        <v>10</v>
      </c>
      <c r="O98" s="1" t="s">
        <v>39</v>
      </c>
      <c r="P98" s="13" t="s">
        <v>15</v>
      </c>
      <c r="S98" s="1"/>
      <c r="T98" s="1"/>
      <c r="U98" s="1"/>
      <c r="V98" s="16"/>
      <c r="AE98" s="1">
        <v>95</v>
      </c>
      <c r="AF98" s="4" t="s">
        <v>5</v>
      </c>
      <c r="AG98" s="4" t="s">
        <v>4</v>
      </c>
      <c r="AH98" s="4" t="s">
        <v>0</v>
      </c>
      <c r="AJ98" s="14"/>
      <c r="AQ98" s="1">
        <v>95</v>
      </c>
      <c r="AR98" s="86" t="s">
        <v>835</v>
      </c>
      <c r="AS98" s="4" t="s">
        <v>0</v>
      </c>
      <c r="AX98" s="1"/>
    </row>
    <row r="99" spans="1:50" x14ac:dyDescent="0.2">
      <c r="A99" s="121" t="s">
        <v>886</v>
      </c>
      <c r="B99" s="110" t="str">
        <f>IF($B$91="FAC-1, FAC-2", VLOOKUP($B$93,$AW$2:$AZ$54,4,FALSE),IF($B$91="FAC-3",VLOOKUP($B$93,$AW$2:$AZ$54,4,FALSE),VLOOKUP($B$93,$AE$2:$AH$113,4,FALSE)))</f>
        <v xml:space="preserve"> </v>
      </c>
      <c r="C99" s="107" t="str">
        <f>IF(B99=" "," ","Reference Value Only")</f>
        <v xml:space="preserve"> </v>
      </c>
      <c r="D99" s="15"/>
      <c r="E99" s="6"/>
      <c r="F99" s="6"/>
      <c r="G99" s="6"/>
      <c r="J99" s="20"/>
      <c r="K99" t="s">
        <v>36</v>
      </c>
      <c r="L99" s="1">
        <f>IF($B$4="Fast Attack",4,IF($B$4="Light",4,IF($B$4="Light Cruiser",4,IF($B$4="Light Escort",4,IF($B$4="Fast Frigate",4,IF($B$4="Light Frigate",4,IF($B$4="Fast/Far Scout",4,5)))))))</f>
        <v>5</v>
      </c>
      <c r="M99" s="16" t="s">
        <v>35</v>
      </c>
      <c r="N99" s="1">
        <v>9</v>
      </c>
      <c r="O99" s="1" t="s">
        <v>20</v>
      </c>
      <c r="P99" s="13" t="s">
        <v>15</v>
      </c>
      <c r="S99" s="1"/>
      <c r="T99" s="1"/>
      <c r="U99" s="1"/>
      <c r="V99" s="16"/>
      <c r="AE99" s="1">
        <v>96</v>
      </c>
      <c r="AF99" s="4" t="s">
        <v>5</v>
      </c>
      <c r="AG99" s="4" t="s">
        <v>4</v>
      </c>
      <c r="AH99" s="4" t="s">
        <v>0</v>
      </c>
      <c r="AJ99" s="14"/>
      <c r="AQ99" s="1">
        <v>96</v>
      </c>
      <c r="AR99" s="86" t="s">
        <v>835</v>
      </c>
      <c r="AS99" s="4" t="s">
        <v>0</v>
      </c>
      <c r="AX99" s="1"/>
    </row>
    <row r="100" spans="1:50" x14ac:dyDescent="0.2">
      <c r="A100" s="118"/>
      <c r="B100" s="118"/>
      <c r="C100" s="118"/>
      <c r="D100" s="135"/>
      <c r="E100" s="6"/>
      <c r="F100" s="6"/>
      <c r="G100" s="6"/>
      <c r="J100" s="20"/>
      <c r="K100" t="s">
        <v>32</v>
      </c>
      <c r="L100" s="1">
        <f>IF($B$4="Fast Attack",4,IF($B$4="Light",4,IF($B$4="Light Cruiser",4,IF($B$4="Light Escort",4,IF($B$4="Fast Frigate",4,IF($B$4="Light Frigate",4,IF($B$4="Fast/Far Scout",4,5)))))))</f>
        <v>5</v>
      </c>
      <c r="M100" s="16" t="s">
        <v>31</v>
      </c>
      <c r="N100" s="1">
        <v>8</v>
      </c>
      <c r="O100" s="1" t="s">
        <v>28</v>
      </c>
      <c r="P100" s="13" t="s">
        <v>15</v>
      </c>
      <c r="S100" s="1"/>
      <c r="T100" s="1"/>
      <c r="U100" s="1"/>
      <c r="V100" s="16"/>
      <c r="AE100" s="1">
        <v>97</v>
      </c>
      <c r="AF100" s="4" t="s">
        <v>5</v>
      </c>
      <c r="AG100" s="4" t="s">
        <v>4</v>
      </c>
      <c r="AH100" s="4" t="s">
        <v>0</v>
      </c>
      <c r="AJ100" s="14"/>
      <c r="AQ100" s="1">
        <v>97</v>
      </c>
      <c r="AR100" s="86" t="s">
        <v>835</v>
      </c>
      <c r="AS100" s="4" t="s">
        <v>0</v>
      </c>
      <c r="AX100" s="1"/>
    </row>
    <row r="101" spans="1:50" x14ac:dyDescent="0.2">
      <c r="A101" s="121" t="s">
        <v>895</v>
      </c>
      <c r="B101" s="114" t="str">
        <f>IF($B$81="FAC-1, FAC-2",VLOOKUP(H81,$AW$2:$AZ$54,3,FALSE),IF($B$81="FAC-3",VLOOKUP(H81,$AW$2:$AZ$54,3,FALSE),IF($B$91="FAC-1, FAC-2",VLOOKUP(H81,$AW$2:$AZ$54,3,FALSE),IF($B$91="FAC-3",VLOOKUP(H81,$AW$2:$AZ$54,3,FALSE),VLOOKUP(H81,$AE$2:$AH$113,3,FALSE)))))</f>
        <v xml:space="preserve"> </v>
      </c>
      <c r="C101" s="6"/>
      <c r="D101" s="6"/>
      <c r="E101" s="6"/>
      <c r="F101" s="6"/>
      <c r="G101" s="6"/>
      <c r="J101" s="20"/>
      <c r="K101" t="s">
        <v>30</v>
      </c>
      <c r="L101" s="1">
        <f>IF($B$4="Fast Attack",4,IF($B$4="Light",4,IF($B$4="Light Cruiser",4,IF($B$4="Light Escort",4,IF($B$4="Fast Frigate",4,IF($B$4="Light Frigate",4,IF($B$4="Fast/Far Scout",4,5)))))))</f>
        <v>5</v>
      </c>
      <c r="M101" s="16" t="s">
        <v>29</v>
      </c>
      <c r="N101" s="1">
        <v>7</v>
      </c>
      <c r="O101" s="1" t="s">
        <v>28</v>
      </c>
      <c r="P101" s="13" t="s">
        <v>15</v>
      </c>
      <c r="S101" s="1"/>
      <c r="T101" s="1"/>
      <c r="U101" s="1"/>
      <c r="V101" s="16"/>
      <c r="AE101" s="1">
        <v>98</v>
      </c>
      <c r="AF101" s="4" t="s">
        <v>5</v>
      </c>
      <c r="AG101" s="4" t="s">
        <v>4</v>
      </c>
      <c r="AH101" s="4" t="s">
        <v>0</v>
      </c>
      <c r="AJ101" s="14"/>
      <c r="AQ101" s="1">
        <v>98</v>
      </c>
      <c r="AR101" s="86" t="s">
        <v>835</v>
      </c>
      <c r="AS101" s="4" t="s">
        <v>0</v>
      </c>
      <c r="AX101" s="1"/>
    </row>
    <row r="102" spans="1:50" x14ac:dyDescent="0.2">
      <c r="A102" s="121" t="s">
        <v>897</v>
      </c>
      <c r="B102" s="114" t="str">
        <f>IF($B$81="FAC-1, FAC-2",VLOOKUP(H81,$AW$2:$AZ$54,4,FALSE),IF($B$81="FAC-3",VLOOKUP(H81,$AW$2:$AZ$54,4,FALSE),IF($B$91="FAC-1, FAC-2",VLOOKUP(H81,$AW$2:$AZ$54,4,FALSE),IF($B$91="FAC-3",VLOOKUP(H81,$AW$2:$AZ$54,4,FALSE),VLOOKUP(H81,$AE$2:$AH$113,4,FALSE)))))</f>
        <v xml:space="preserve"> </v>
      </c>
      <c r="C102" s="6"/>
      <c r="D102" s="15"/>
      <c r="E102" s="6"/>
      <c r="F102" s="6"/>
      <c r="G102" s="6"/>
      <c r="J102" s="20"/>
      <c r="K102" t="s">
        <v>26</v>
      </c>
      <c r="L102" s="1">
        <f>IF($B$4="Fast Attack",5,IF($B$4="Light",5,IF($B$4="Light Cruiser",5,IF($B$4="Light Escort",5,IF($B$4="Fast Frigate",5,IF($B$4="Light Frigate",5,IF($B$4="Fast/Far Scout",5,6)))))))</f>
        <v>6</v>
      </c>
      <c r="M102" s="16" t="s">
        <v>25</v>
      </c>
      <c r="N102" s="1">
        <v>10</v>
      </c>
      <c r="O102" s="1" t="s">
        <v>20</v>
      </c>
      <c r="P102" s="13" t="s">
        <v>15</v>
      </c>
      <c r="S102" s="1"/>
      <c r="T102" s="1"/>
      <c r="U102" s="1"/>
      <c r="V102" s="16"/>
      <c r="AE102" s="1">
        <v>99</v>
      </c>
      <c r="AF102" s="4" t="s">
        <v>5</v>
      </c>
      <c r="AG102" s="4" t="s">
        <v>4</v>
      </c>
      <c r="AH102" s="4" t="s">
        <v>0</v>
      </c>
      <c r="AJ102" s="14"/>
      <c r="AQ102" s="1">
        <v>99</v>
      </c>
      <c r="AR102" s="86" t="s">
        <v>835</v>
      </c>
      <c r="AS102" s="4" t="s">
        <v>0</v>
      </c>
      <c r="AX102" s="1"/>
    </row>
    <row r="103" spans="1:50" x14ac:dyDescent="0.2">
      <c r="A103" s="93"/>
      <c r="B103" s="15"/>
      <c r="C103" s="19"/>
      <c r="D103" s="15"/>
      <c r="E103" s="6"/>
      <c r="F103" s="6"/>
      <c r="G103" s="6"/>
      <c r="J103" s="20"/>
      <c r="K103" t="s">
        <v>22</v>
      </c>
      <c r="L103" s="1">
        <f>IF($B$4="Fast Attack",5,IF($B$4="Light",5,IF($B$4="Light Cruiser",5,IF($B$4="Light Escort",5,IF($B$4="Fast Frigate",5,IF($B$4="Light Frigate",5,IF($B$4="Fast/Far Scout",5,6)))))))</f>
        <v>6</v>
      </c>
      <c r="M103" s="16" t="s">
        <v>21</v>
      </c>
      <c r="N103" s="1">
        <v>9</v>
      </c>
      <c r="O103" s="1" t="s">
        <v>20</v>
      </c>
      <c r="P103" s="13" t="s">
        <v>15</v>
      </c>
      <c r="AE103" s="1">
        <v>100</v>
      </c>
      <c r="AF103" s="4" t="s">
        <v>5</v>
      </c>
      <c r="AG103" s="4" t="s">
        <v>4</v>
      </c>
      <c r="AH103" s="4" t="s">
        <v>0</v>
      </c>
      <c r="AJ103" s="14"/>
      <c r="AQ103" s="1">
        <v>100</v>
      </c>
      <c r="AR103" s="86" t="s">
        <v>835</v>
      </c>
      <c r="AS103" s="4" t="s">
        <v>0</v>
      </c>
      <c r="AX103" s="1"/>
    </row>
    <row r="104" spans="1:50" x14ac:dyDescent="0.2">
      <c r="A104" s="117" t="s">
        <v>815</v>
      </c>
      <c r="B104" s="117"/>
      <c r="C104" s="117"/>
      <c r="D104" s="117"/>
      <c r="E104" s="5"/>
      <c r="F104" s="5"/>
      <c r="G104" s="5"/>
      <c r="J104" s="20"/>
      <c r="K104" t="s">
        <v>19</v>
      </c>
      <c r="L104" s="1">
        <f>IF($B$4="Fast Attack",6,IF($B$4="Light",6,IF($B$4="Light Cruiser",6,IF($B$4="Light Escort",6,IF($B$4="Fast Frigate",6,IF($B$4="Light Frigate",6,IF($B$4="Fast/Far Scout",6,7)))))))</f>
        <v>7</v>
      </c>
      <c r="M104" s="16" t="s">
        <v>18</v>
      </c>
      <c r="N104" s="1">
        <v>8</v>
      </c>
      <c r="O104" s="1" t="s">
        <v>0</v>
      </c>
      <c r="P104" s="13" t="s">
        <v>15</v>
      </c>
      <c r="AE104" s="1">
        <v>101</v>
      </c>
      <c r="AF104" s="4" t="s">
        <v>5</v>
      </c>
      <c r="AG104" s="4" t="s">
        <v>4</v>
      </c>
      <c r="AH104" s="4" t="s">
        <v>0</v>
      </c>
      <c r="AJ104" s="14"/>
      <c r="AQ104" s="1">
        <v>101</v>
      </c>
      <c r="AR104" s="86" t="s">
        <v>835</v>
      </c>
      <c r="AS104" s="4" t="s">
        <v>0</v>
      </c>
      <c r="AX104" s="1"/>
    </row>
    <row r="105" spans="1:50" x14ac:dyDescent="0.2">
      <c r="A105" s="121" t="s">
        <v>154</v>
      </c>
      <c r="B105" s="81" t="s">
        <v>10</v>
      </c>
      <c r="C105" s="121" t="s">
        <v>152</v>
      </c>
      <c r="D105" s="1"/>
      <c r="E105" s="6"/>
      <c r="F105" s="6"/>
      <c r="G105" s="6"/>
      <c r="K105" t="s">
        <v>17</v>
      </c>
      <c r="L105" s="1">
        <f>IF($B$4="Fast Attack",7,IF($B$4="Light",7,IF($B$4="Light Cruiser",7,IF($B$4="Light Escort",7,IF($B$4="Fast Frigate",7,IF($B$4="Light Frigate",7,IF($B$4="Fast/Far Scout",7,8)))))))</f>
        <v>8</v>
      </c>
      <c r="M105" s="16" t="s">
        <v>16</v>
      </c>
      <c r="N105" s="1">
        <v>9</v>
      </c>
      <c r="O105" s="1" t="s">
        <v>0</v>
      </c>
      <c r="P105" s="13" t="s">
        <v>15</v>
      </c>
      <c r="AE105" s="1">
        <v>102</v>
      </c>
      <c r="AF105" s="4" t="s">
        <v>5</v>
      </c>
      <c r="AG105" s="4" t="s">
        <v>4</v>
      </c>
      <c r="AH105" s="4" t="s">
        <v>0</v>
      </c>
      <c r="AJ105" s="14"/>
      <c r="AQ105" s="1">
        <v>102</v>
      </c>
      <c r="AR105" s="86" t="s">
        <v>835</v>
      </c>
      <c r="AS105" s="4" t="s">
        <v>0</v>
      </c>
      <c r="AX105" s="1"/>
    </row>
    <row r="106" spans="1:50" x14ac:dyDescent="0.2">
      <c r="A106" s="121" t="s">
        <v>79</v>
      </c>
      <c r="B106" s="114">
        <f>D106*D105</f>
        <v>0</v>
      </c>
      <c r="C106" s="121" t="s">
        <v>146</v>
      </c>
      <c r="D106" s="114">
        <f>VLOOKUP(B105,$K$17:$N$20,2,FALSE)</f>
        <v>0</v>
      </c>
      <c r="E106" s="6"/>
      <c r="F106" s="6"/>
      <c r="G106" s="6"/>
      <c r="AE106" s="1">
        <v>103</v>
      </c>
      <c r="AF106" s="4" t="s">
        <v>5</v>
      </c>
      <c r="AG106" s="4" t="s">
        <v>4</v>
      </c>
      <c r="AH106" s="4" t="s">
        <v>0</v>
      </c>
      <c r="AJ106" s="14"/>
      <c r="AQ106" s="1">
        <v>103</v>
      </c>
      <c r="AR106" s="86" t="s">
        <v>835</v>
      </c>
      <c r="AS106" s="4" t="s">
        <v>0</v>
      </c>
      <c r="AX106" s="1"/>
    </row>
    <row r="107" spans="1:50" x14ac:dyDescent="0.2">
      <c r="A107" s="121" t="s">
        <v>144</v>
      </c>
      <c r="B107" s="114">
        <f>D107*D105</f>
        <v>0</v>
      </c>
      <c r="C107" s="121" t="s">
        <v>143</v>
      </c>
      <c r="D107" s="114">
        <f>VLOOKUP(B105,$K$17:$N$20,3,FALSE)</f>
        <v>0</v>
      </c>
      <c r="E107" s="6"/>
      <c r="F107" s="6"/>
      <c r="G107" s="6"/>
      <c r="K107" s="100" t="s">
        <v>889</v>
      </c>
      <c r="AE107" s="1">
        <v>104</v>
      </c>
      <c r="AF107" s="4" t="s">
        <v>5</v>
      </c>
      <c r="AG107" s="4" t="s">
        <v>4</v>
      </c>
      <c r="AH107" s="4" t="s">
        <v>0</v>
      </c>
      <c r="AJ107" s="14"/>
      <c r="AQ107" s="1">
        <v>104</v>
      </c>
      <c r="AR107" s="86" t="s">
        <v>835</v>
      </c>
      <c r="AS107" s="4" t="s">
        <v>0</v>
      </c>
      <c r="AX107" s="1"/>
    </row>
    <row r="108" spans="1:50" x14ac:dyDescent="0.2">
      <c r="A108" s="121" t="s">
        <v>139</v>
      </c>
      <c r="B108" s="114">
        <f>VLOOKUP(B105,$K$17:$N$20,4,FALSE)</f>
        <v>0</v>
      </c>
      <c r="C108" s="107" t="str">
        <f>IF(B108&gt;$B$5,"Weapon Too Large for Ship Size","Meets Min. Ship Size Restriction")</f>
        <v>Meets Min. Ship Size Restriction</v>
      </c>
      <c r="D108" s="15"/>
      <c r="E108" s="6"/>
      <c r="F108" s="6"/>
      <c r="G108" s="6"/>
      <c r="K108" s="12">
        <f>VLOOKUP($B$46,$K$81:$O$105,2,FALSE)</f>
        <v>0</v>
      </c>
      <c r="AE108" s="1">
        <v>105</v>
      </c>
      <c r="AF108" s="4" t="s">
        <v>5</v>
      </c>
      <c r="AG108" s="4" t="s">
        <v>4</v>
      </c>
      <c r="AH108" s="4" t="s">
        <v>0</v>
      </c>
      <c r="AJ108" s="14"/>
      <c r="AQ108" s="1">
        <v>105</v>
      </c>
      <c r="AR108" s="86" t="s">
        <v>835</v>
      </c>
      <c r="AS108" s="4" t="s">
        <v>0</v>
      </c>
      <c r="AX108" s="1"/>
    </row>
    <row r="109" spans="1:50" x14ac:dyDescent="0.2">
      <c r="A109" s="121" t="s">
        <v>60</v>
      </c>
      <c r="B109" s="114"/>
      <c r="C109" s="6"/>
      <c r="D109" s="6"/>
      <c r="E109" s="6"/>
      <c r="F109" s="6"/>
      <c r="G109" s="6"/>
      <c r="I109" s="25" t="s">
        <v>110</v>
      </c>
      <c r="J109" s="13"/>
      <c r="K109" s="10" t="s">
        <v>113</v>
      </c>
      <c r="AE109" s="1">
        <v>106</v>
      </c>
      <c r="AF109" s="4" t="s">
        <v>5</v>
      </c>
      <c r="AG109" s="4" t="s">
        <v>4</v>
      </c>
      <c r="AH109" s="4" t="s">
        <v>0</v>
      </c>
      <c r="AJ109" s="14"/>
      <c r="AQ109" s="1">
        <v>106</v>
      </c>
      <c r="AR109" s="86" t="s">
        <v>835</v>
      </c>
      <c r="AS109" s="4" t="s">
        <v>0</v>
      </c>
      <c r="AX109" s="1"/>
    </row>
    <row r="110" spans="1:50" x14ac:dyDescent="0.2">
      <c r="A110" s="92"/>
      <c r="B110" s="114"/>
      <c r="C110" s="6"/>
      <c r="D110" s="6"/>
      <c r="E110" s="6"/>
      <c r="F110" s="6"/>
      <c r="G110" s="6"/>
      <c r="I110" s="1">
        <f>B56+B83</f>
        <v>0</v>
      </c>
      <c r="J110" s="1"/>
      <c r="AE110" s="1">
        <v>107</v>
      </c>
      <c r="AF110" s="4" t="s">
        <v>5</v>
      </c>
      <c r="AG110" s="4" t="s">
        <v>4</v>
      </c>
      <c r="AH110" s="4" t="s">
        <v>0</v>
      </c>
      <c r="AJ110" s="14"/>
      <c r="AQ110" s="1">
        <v>107</v>
      </c>
      <c r="AR110" s="86" t="s">
        <v>835</v>
      </c>
      <c r="AS110" s="4" t="s">
        <v>0</v>
      </c>
      <c r="AX110" s="1"/>
    </row>
    <row r="111" spans="1:50" x14ac:dyDescent="0.2">
      <c r="A111" s="92"/>
      <c r="B111" s="15"/>
      <c r="C111" s="6"/>
      <c r="D111" s="6"/>
      <c r="E111" s="6"/>
      <c r="F111" s="6"/>
      <c r="G111" s="6"/>
      <c r="I111" s="25" t="s">
        <v>119</v>
      </c>
      <c r="AE111" s="1">
        <v>108</v>
      </c>
      <c r="AF111" s="4" t="s">
        <v>5</v>
      </c>
      <c r="AG111" s="4" t="s">
        <v>4</v>
      </c>
      <c r="AH111" s="4" t="s">
        <v>0</v>
      </c>
      <c r="AJ111" s="14"/>
      <c r="AQ111" s="1">
        <v>108</v>
      </c>
      <c r="AR111" s="86" t="s">
        <v>835</v>
      </c>
      <c r="AS111" s="4" t="s">
        <v>0</v>
      </c>
      <c r="AX111" s="1"/>
    </row>
    <row r="112" spans="1:50" x14ac:dyDescent="0.2">
      <c r="A112" s="121" t="s">
        <v>124</v>
      </c>
      <c r="B112" s="114" t="str">
        <f>VLOOKUP(B107,$AQ$2:$AS$138,2,FALSE)</f>
        <v xml:space="preserve"> </v>
      </c>
      <c r="C112" s="6"/>
      <c r="D112" s="6"/>
      <c r="E112" s="6"/>
      <c r="F112" s="6"/>
      <c r="G112" s="6"/>
      <c r="I112" s="1">
        <f>VLOOKUP($B$141,$Y$40:$AC$46,2,FALSE)</f>
        <v>0</v>
      </c>
      <c r="AE112" s="1">
        <v>109</v>
      </c>
      <c r="AF112" s="4" t="s">
        <v>5</v>
      </c>
      <c r="AG112" s="4" t="s">
        <v>4</v>
      </c>
      <c r="AH112" s="4" t="s">
        <v>0</v>
      </c>
      <c r="AJ112" s="14"/>
      <c r="AQ112" s="1">
        <v>109</v>
      </c>
      <c r="AR112" s="86" t="s">
        <v>835</v>
      </c>
      <c r="AS112" s="4" t="s">
        <v>0</v>
      </c>
      <c r="AX112" s="1"/>
    </row>
    <row r="113" spans="1:50" x14ac:dyDescent="0.2">
      <c r="A113" s="121" t="s">
        <v>887</v>
      </c>
      <c r="B113" s="114" t="str">
        <f>VLOOKUP(B107,$AQ$2:$AS$138,3,FALSE)</f>
        <v xml:space="preserve"> </v>
      </c>
      <c r="C113" s="107" t="str">
        <f>IF(B113=" "," ","Reference Value Only")</f>
        <v xml:space="preserve"> </v>
      </c>
      <c r="D113" s="15"/>
      <c r="E113" s="6"/>
      <c r="F113" s="6"/>
      <c r="G113" s="6"/>
      <c r="AE113" s="3" t="s">
        <v>838</v>
      </c>
      <c r="AF113" s="2" t="s">
        <v>2</v>
      </c>
      <c r="AG113" s="2" t="s">
        <v>1</v>
      </c>
      <c r="AH113" s="2" t="s">
        <v>450</v>
      </c>
      <c r="AJ113" s="14"/>
      <c r="AQ113" s="3" t="s">
        <v>838</v>
      </c>
      <c r="AR113" s="2" t="s">
        <v>836</v>
      </c>
      <c r="AS113" s="2" t="s">
        <v>450</v>
      </c>
      <c r="AX113" s="1"/>
    </row>
    <row r="114" spans="1:50" x14ac:dyDescent="0.2">
      <c r="A114" s="95"/>
      <c r="B114" s="89"/>
      <c r="C114" s="95"/>
      <c r="D114" s="133"/>
      <c r="E114" s="134"/>
      <c r="F114" s="133"/>
      <c r="G114" s="133"/>
      <c r="H114" s="100" t="s">
        <v>49</v>
      </c>
      <c r="I114" s="100" t="s">
        <v>47</v>
      </c>
      <c r="AJ114" s="14"/>
      <c r="AQ114" s="1">
        <v>111</v>
      </c>
      <c r="AR114" s="86" t="s">
        <v>836</v>
      </c>
      <c r="AS114" s="86" t="s">
        <v>450</v>
      </c>
      <c r="AX114" s="1"/>
    </row>
    <row r="115" spans="1:50" x14ac:dyDescent="0.2">
      <c r="A115" s="121" t="s">
        <v>839</v>
      </c>
      <c r="B115" s="114">
        <f>$B$56+B68+$B$83+B93+$B$107</f>
        <v>0</v>
      </c>
      <c r="C115" s="19"/>
      <c r="D115" s="15"/>
      <c r="E115" s="6"/>
      <c r="F115" s="6"/>
      <c r="G115" s="6"/>
      <c r="H115" t="s">
        <v>10</v>
      </c>
      <c r="I115" s="1">
        <v>0</v>
      </c>
      <c r="AJ115" s="14"/>
      <c r="AQ115" s="1">
        <v>112</v>
      </c>
      <c r="AR115" s="86" t="s">
        <v>836</v>
      </c>
      <c r="AS115" s="86" t="s">
        <v>450</v>
      </c>
      <c r="AX115" s="1"/>
    </row>
    <row r="116" spans="1:50" x14ac:dyDescent="0.2">
      <c r="A116" s="121" t="s">
        <v>888</v>
      </c>
      <c r="B116" s="114" t="str">
        <f>VLOOKUP(B115,AE3:AH113,4,FALSE)</f>
        <v xml:space="preserve"> </v>
      </c>
      <c r="C116" s="6"/>
      <c r="D116" s="6"/>
      <c r="E116" s="6"/>
      <c r="F116" s="6"/>
      <c r="G116" s="6"/>
      <c r="H116" t="s">
        <v>764</v>
      </c>
      <c r="I116" s="1">
        <v>1</v>
      </c>
      <c r="AJ116" s="14"/>
      <c r="AQ116" s="1">
        <v>113</v>
      </c>
      <c r="AR116" s="86" t="s">
        <v>836</v>
      </c>
      <c r="AS116" s="86" t="s">
        <v>450</v>
      </c>
      <c r="AX116" s="1"/>
    </row>
    <row r="117" spans="1:50" x14ac:dyDescent="0.2">
      <c r="A117" s="117" t="s">
        <v>90</v>
      </c>
      <c r="B117" s="117"/>
      <c r="C117" s="117"/>
      <c r="D117" s="117"/>
      <c r="E117" s="5"/>
      <c r="F117" s="5"/>
      <c r="G117" s="5"/>
      <c r="H117" t="s">
        <v>765</v>
      </c>
      <c r="I117" s="1">
        <v>2</v>
      </c>
      <c r="AJ117" s="14"/>
      <c r="AQ117" s="1">
        <v>114</v>
      </c>
      <c r="AR117" s="86" t="s">
        <v>836</v>
      </c>
      <c r="AS117" s="86" t="s">
        <v>450</v>
      </c>
      <c r="AX117" s="1"/>
    </row>
    <row r="118" spans="1:50" x14ac:dyDescent="0.2">
      <c r="A118" s="121" t="s">
        <v>85</v>
      </c>
      <c r="B118" s="81" t="s">
        <v>10</v>
      </c>
      <c r="C118" s="6"/>
      <c r="D118" s="6"/>
      <c r="E118" s="6"/>
      <c r="F118" s="6"/>
      <c r="G118" s="6"/>
      <c r="AJ118" s="14"/>
      <c r="AQ118" s="1">
        <v>115</v>
      </c>
      <c r="AR118" s="86" t="s">
        <v>836</v>
      </c>
      <c r="AS118" s="86" t="s">
        <v>450</v>
      </c>
      <c r="AX118" s="1"/>
    </row>
    <row r="119" spans="1:50" x14ac:dyDescent="0.2">
      <c r="A119" s="121" t="s">
        <v>79</v>
      </c>
      <c r="B119" s="114">
        <f>VLOOKUP($B$118,$AJ$2:$AO$63,2,FALSE)+$D$123</f>
        <v>0</v>
      </c>
      <c r="C119" s="121" t="s">
        <v>78</v>
      </c>
      <c r="D119" s="114">
        <f>VLOOKUP($B$118,$AJ$2:$AO$63,2,FALSE)</f>
        <v>0</v>
      </c>
      <c r="E119" s="6"/>
      <c r="F119" s="6"/>
      <c r="G119" s="6"/>
      <c r="H119" s="100" t="s">
        <v>766</v>
      </c>
      <c r="I119" s="100" t="s">
        <v>47</v>
      </c>
      <c r="AJ119" s="14"/>
      <c r="AQ119" s="1">
        <v>116</v>
      </c>
      <c r="AR119" s="86" t="s">
        <v>836</v>
      </c>
      <c r="AS119" s="86" t="s">
        <v>450</v>
      </c>
      <c r="AX119" s="1"/>
    </row>
    <row r="120" spans="1:50" x14ac:dyDescent="0.2">
      <c r="A120" s="121" t="s">
        <v>74</v>
      </c>
      <c r="B120" s="114">
        <f>VLOOKUP($B$118,$AJ$2:$AO$63,3,FALSE)</f>
        <v>5</v>
      </c>
      <c r="C120" s="121"/>
      <c r="D120" s="6"/>
      <c r="E120" s="6"/>
      <c r="F120" s="6"/>
      <c r="G120" s="6"/>
      <c r="H120" t="s">
        <v>132</v>
      </c>
      <c r="I120" s="1">
        <f>ROUNDDOWN(B5/2,0)</f>
        <v>0</v>
      </c>
      <c r="AJ120" s="14"/>
      <c r="AQ120" s="1">
        <v>117</v>
      </c>
      <c r="AR120" s="86" t="s">
        <v>836</v>
      </c>
      <c r="AS120" s="86" t="s">
        <v>450</v>
      </c>
      <c r="AX120" s="1"/>
    </row>
    <row r="121" spans="1:50" x14ac:dyDescent="0.2">
      <c r="A121" s="121" t="s">
        <v>68</v>
      </c>
      <c r="B121" s="114">
        <f>D121+D123</f>
        <v>0</v>
      </c>
      <c r="C121" s="121" t="s">
        <v>67</v>
      </c>
      <c r="D121" s="114">
        <f>VLOOKUP($B$118,$AJ$2:$AO$63,4,FALSE)</f>
        <v>0</v>
      </c>
      <c r="E121" s="19"/>
      <c r="F121" s="21"/>
      <c r="G121" s="19"/>
      <c r="H121" t="s">
        <v>48</v>
      </c>
      <c r="I121" s="1">
        <v>0</v>
      </c>
      <c r="AJ121" s="14"/>
      <c r="AQ121" s="1">
        <v>118</v>
      </c>
      <c r="AR121" s="86" t="s">
        <v>836</v>
      </c>
      <c r="AS121" s="86" t="s">
        <v>450</v>
      </c>
      <c r="AX121" s="1"/>
    </row>
    <row r="122" spans="1:50" x14ac:dyDescent="0.2">
      <c r="A122" s="121" t="s">
        <v>65</v>
      </c>
      <c r="B122" s="114">
        <f>VLOOKUP($B$118,$AJ$2:$AO$63,6,FALSE)</f>
        <v>0</v>
      </c>
      <c r="C122" s="121" t="s">
        <v>64</v>
      </c>
      <c r="D122" s="114">
        <f>VLOOKUP($B$118,$AJ$2:$AO$63,5,FALSE)</f>
        <v>0</v>
      </c>
      <c r="E122" s="6"/>
      <c r="F122" s="6"/>
      <c r="G122" s="6"/>
      <c r="AJ122" s="14"/>
      <c r="AQ122" s="1">
        <v>119</v>
      </c>
      <c r="AR122" s="86" t="s">
        <v>836</v>
      </c>
      <c r="AS122" s="86" t="s">
        <v>450</v>
      </c>
      <c r="AX122" s="1"/>
    </row>
    <row r="123" spans="1:50" x14ac:dyDescent="0.2">
      <c r="A123" s="121" t="s">
        <v>60</v>
      </c>
      <c r="B123" s="114" t="str">
        <f>VLOOKUP($B$118,$AJ$2:$AQ$63,7,FALSE)</f>
        <v xml:space="preserve"> </v>
      </c>
      <c r="C123" s="121" t="s">
        <v>59</v>
      </c>
      <c r="D123" s="1"/>
      <c r="E123" s="6"/>
      <c r="F123" s="6"/>
      <c r="G123" s="6"/>
      <c r="S123" s="1"/>
      <c r="T123" s="1"/>
      <c r="U123" s="1"/>
      <c r="V123" s="1"/>
      <c r="AJ123" s="14"/>
      <c r="AQ123" s="1">
        <v>120</v>
      </c>
      <c r="AR123" s="86" t="s">
        <v>836</v>
      </c>
      <c r="AS123" s="86" t="s">
        <v>450</v>
      </c>
      <c r="AX123" s="1"/>
    </row>
    <row r="124" spans="1:50" x14ac:dyDescent="0.2">
      <c r="A124" s="93"/>
      <c r="B124" s="114" t="str">
        <f>VLOOKUP($B$118,$AJ$2:$AP$63,7,FALSE)</f>
        <v xml:space="preserve"> </v>
      </c>
      <c r="C124" s="6"/>
      <c r="D124" s="6"/>
      <c r="E124" s="6"/>
      <c r="F124" s="6"/>
      <c r="G124" s="6"/>
      <c r="S124" s="1"/>
      <c r="T124" s="1"/>
      <c r="U124" s="1"/>
      <c r="V124" s="1"/>
      <c r="AJ124" s="14"/>
      <c r="AQ124" s="1">
        <v>121</v>
      </c>
      <c r="AR124" s="86" t="s">
        <v>836</v>
      </c>
      <c r="AS124" s="86" t="s">
        <v>450</v>
      </c>
    </row>
    <row r="125" spans="1:50" x14ac:dyDescent="0.2">
      <c r="A125" s="117" t="s">
        <v>52</v>
      </c>
      <c r="B125" s="117"/>
      <c r="C125" s="117"/>
      <c r="D125" s="117"/>
      <c r="E125" s="5"/>
      <c r="F125" s="5"/>
      <c r="G125" s="5"/>
      <c r="S125" s="1"/>
      <c r="T125" s="1"/>
      <c r="U125" s="1"/>
      <c r="V125" s="1"/>
      <c r="AJ125" s="14"/>
      <c r="AQ125" s="1">
        <v>122</v>
      </c>
      <c r="AR125" s="86" t="s">
        <v>836</v>
      </c>
      <c r="AS125" s="86" t="s">
        <v>450</v>
      </c>
    </row>
    <row r="126" spans="1:50" x14ac:dyDescent="0.2">
      <c r="A126" s="122" t="s">
        <v>766</v>
      </c>
      <c r="B126" s="81" t="s">
        <v>48</v>
      </c>
      <c r="C126" s="122" t="s">
        <v>47</v>
      </c>
      <c r="D126" s="114">
        <f>VLOOKUP(B126,H120:I121,2,FALSE)</f>
        <v>0</v>
      </c>
      <c r="E126" s="9" t="str">
        <f>IF(B5&gt;6,"Ship Too Large; Max. Ship Size=6","Meets Ship Size Restriction")</f>
        <v>Meets Ship Size Restriction</v>
      </c>
      <c r="F126" s="8"/>
      <c r="G126" s="6"/>
      <c r="S126" s="1"/>
      <c r="T126" s="1"/>
      <c r="U126" s="1"/>
      <c r="V126" s="1"/>
      <c r="AJ126" s="14"/>
      <c r="AQ126" s="1">
        <v>123</v>
      </c>
      <c r="AR126" s="86" t="s">
        <v>836</v>
      </c>
      <c r="AS126" s="86" t="s">
        <v>450</v>
      </c>
    </row>
    <row r="127" spans="1:50" x14ac:dyDescent="0.2">
      <c r="A127" s="121" t="s">
        <v>49</v>
      </c>
      <c r="B127" s="81" t="s">
        <v>10</v>
      </c>
      <c r="C127" s="121" t="s">
        <v>47</v>
      </c>
      <c r="D127" s="114">
        <f>VLOOKUP(B127,H115:I117,2,FALSE)</f>
        <v>0</v>
      </c>
      <c r="E127" s="6"/>
      <c r="F127" s="6"/>
      <c r="G127" s="6"/>
      <c r="S127" s="1"/>
      <c r="T127" s="1"/>
      <c r="U127" s="1"/>
      <c r="V127" s="1"/>
      <c r="AJ127" s="14"/>
      <c r="AQ127" s="1">
        <v>124</v>
      </c>
      <c r="AR127" s="86" t="s">
        <v>836</v>
      </c>
      <c r="AS127" s="86" t="s">
        <v>450</v>
      </c>
    </row>
    <row r="128" spans="1:50" x14ac:dyDescent="0.2">
      <c r="A128" s="121"/>
      <c r="B128" s="15"/>
      <c r="C128" s="123"/>
      <c r="D128" s="15"/>
      <c r="E128" s="6"/>
      <c r="F128" s="6"/>
      <c r="G128" s="6"/>
      <c r="S128" s="1"/>
      <c r="T128" s="1"/>
      <c r="U128" s="1"/>
      <c r="V128" s="1"/>
      <c r="AJ128" s="14"/>
      <c r="AQ128" s="1">
        <v>125</v>
      </c>
      <c r="AR128" s="86" t="s">
        <v>836</v>
      </c>
      <c r="AS128" s="86" t="s">
        <v>450</v>
      </c>
    </row>
    <row r="129" spans="1:45" x14ac:dyDescent="0.2">
      <c r="A129" s="121" t="s">
        <v>42</v>
      </c>
      <c r="B129" s="15"/>
      <c r="C129" s="123"/>
      <c r="D129" s="15"/>
      <c r="E129" s="6"/>
      <c r="F129" s="6"/>
      <c r="G129" s="6"/>
      <c r="S129" s="1"/>
      <c r="T129" s="1"/>
      <c r="U129" s="1"/>
      <c r="V129" s="1"/>
      <c r="AJ129" s="14"/>
      <c r="AQ129" s="1">
        <v>126</v>
      </c>
      <c r="AR129" s="86" t="s">
        <v>836</v>
      </c>
      <c r="AS129" s="86" t="s">
        <v>450</v>
      </c>
    </row>
    <row r="130" spans="1:45" x14ac:dyDescent="0.2">
      <c r="A130" s="121" t="s">
        <v>38</v>
      </c>
      <c r="B130" s="114" t="str">
        <f>IF(B5=1,"Min. Size for Bay = 1",1 &amp;"+" &amp;D130)</f>
        <v>Min. Size for Bay = 1</v>
      </c>
      <c r="C130" s="121" t="s">
        <v>37</v>
      </c>
      <c r="D130" s="1"/>
      <c r="E130" s="6"/>
      <c r="F130" s="6"/>
      <c r="G130" s="6"/>
      <c r="S130" s="1"/>
      <c r="T130" s="1"/>
      <c r="U130" s="1"/>
      <c r="V130" s="1"/>
      <c r="AJ130" s="14"/>
      <c r="AQ130" s="1">
        <v>127</v>
      </c>
      <c r="AR130" s="86" t="s">
        <v>836</v>
      </c>
      <c r="AS130" s="86" t="s">
        <v>450</v>
      </c>
    </row>
    <row r="131" spans="1:45" x14ac:dyDescent="0.2">
      <c r="A131" s="121" t="s">
        <v>9</v>
      </c>
      <c r="B131" s="114">
        <f>2+D130*2</f>
        <v>2</v>
      </c>
      <c r="C131" s="9" t="str">
        <f>IF(B5&lt;2,"Size 3+ Ships Only Can Purchase Shuttle Bays","Ship Meets Size Restriction")</f>
        <v>Size 3+ Ships Only Can Purchase Shuttle Bays</v>
      </c>
      <c r="D131" s="15"/>
      <c r="E131" s="6"/>
      <c r="F131" s="6"/>
      <c r="G131" s="6"/>
      <c r="S131" s="1"/>
      <c r="T131" s="1"/>
      <c r="U131" s="1"/>
      <c r="V131" s="1"/>
      <c r="AJ131" s="14"/>
      <c r="AQ131" s="1">
        <v>128</v>
      </c>
      <c r="AR131" s="86" t="s">
        <v>836</v>
      </c>
      <c r="AS131" s="86" t="s">
        <v>450</v>
      </c>
    </row>
    <row r="132" spans="1:45" x14ac:dyDescent="0.2">
      <c r="A132" s="121"/>
      <c r="B132" s="6"/>
      <c r="C132" s="92"/>
      <c r="D132" s="15"/>
      <c r="E132" s="6"/>
      <c r="F132" s="6"/>
      <c r="G132" s="6"/>
      <c r="S132" s="1"/>
      <c r="T132" s="1"/>
      <c r="U132" s="1"/>
      <c r="V132" s="1"/>
      <c r="AJ132" s="14"/>
      <c r="AQ132" s="1">
        <v>129</v>
      </c>
      <c r="AR132" s="86" t="s">
        <v>836</v>
      </c>
      <c r="AS132" s="86" t="s">
        <v>450</v>
      </c>
    </row>
    <row r="133" spans="1:45" x14ac:dyDescent="0.2">
      <c r="A133" s="121" t="s">
        <v>27</v>
      </c>
      <c r="B133" s="6"/>
      <c r="C133" s="92"/>
      <c r="D133" s="15"/>
      <c r="E133" s="6"/>
      <c r="F133" s="6"/>
      <c r="G133" s="6"/>
      <c r="S133" s="1"/>
      <c r="T133" s="1"/>
      <c r="U133" s="1"/>
      <c r="V133" s="1"/>
      <c r="AJ133" s="14"/>
      <c r="AQ133" s="1">
        <v>130</v>
      </c>
      <c r="AR133" s="86" t="s">
        <v>836</v>
      </c>
      <c r="AS133" s="86" t="s">
        <v>450</v>
      </c>
    </row>
    <row r="134" spans="1:45" x14ac:dyDescent="0.2">
      <c r="A134" s="121" t="s">
        <v>24</v>
      </c>
      <c r="B134" s="114" t="str">
        <f>1 &amp;"+" &amp;D134</f>
        <v>1+</v>
      </c>
      <c r="C134" s="121" t="s">
        <v>23</v>
      </c>
      <c r="D134" s="1"/>
      <c r="E134" s="6"/>
      <c r="F134" s="6"/>
      <c r="G134" s="6"/>
      <c r="S134" s="1"/>
      <c r="T134" s="1"/>
      <c r="U134" s="1"/>
      <c r="V134" s="1"/>
      <c r="AJ134" s="14"/>
      <c r="AQ134" s="1">
        <v>131</v>
      </c>
      <c r="AR134" s="86" t="s">
        <v>836</v>
      </c>
      <c r="AS134" s="86" t="s">
        <v>450</v>
      </c>
    </row>
    <row r="135" spans="1:45" x14ac:dyDescent="0.2">
      <c r="A135" s="121" t="s">
        <v>9</v>
      </c>
      <c r="B135" s="114">
        <f>D134</f>
        <v>0</v>
      </c>
      <c r="C135" s="121"/>
      <c r="D135" s="15"/>
      <c r="E135" s="6"/>
      <c r="F135" s="6"/>
      <c r="G135" s="6"/>
      <c r="S135" s="1"/>
      <c r="T135" s="1"/>
      <c r="U135" s="1"/>
      <c r="V135" s="1"/>
      <c r="AJ135" s="14"/>
      <c r="AQ135" s="1">
        <v>132</v>
      </c>
      <c r="AR135" s="86" t="s">
        <v>836</v>
      </c>
      <c r="AS135" s="86" t="s">
        <v>450</v>
      </c>
    </row>
    <row r="136" spans="1:45" x14ac:dyDescent="0.2">
      <c r="A136" s="121"/>
      <c r="B136" s="6"/>
      <c r="C136" s="121"/>
      <c r="D136" s="15"/>
      <c r="E136" s="6"/>
      <c r="F136" s="6"/>
      <c r="G136" s="6"/>
      <c r="S136" s="1"/>
      <c r="T136" s="1"/>
      <c r="U136" s="1"/>
      <c r="V136" s="1"/>
      <c r="AJ136" s="14"/>
      <c r="AQ136" s="1">
        <v>133</v>
      </c>
      <c r="AR136" s="86" t="s">
        <v>836</v>
      </c>
      <c r="AS136" s="86" t="s">
        <v>450</v>
      </c>
    </row>
    <row r="137" spans="1:45" x14ac:dyDescent="0.2">
      <c r="A137" s="121" t="s">
        <v>14</v>
      </c>
      <c r="B137" s="6"/>
      <c r="C137" s="121"/>
      <c r="D137" s="15"/>
      <c r="E137" s="6"/>
      <c r="F137" s="6"/>
      <c r="G137" s="6"/>
      <c r="M137" s="14"/>
      <c r="P137" s="13"/>
      <c r="AJ137" s="14"/>
      <c r="AQ137" s="1">
        <v>134</v>
      </c>
      <c r="AR137" s="86" t="s">
        <v>836</v>
      </c>
      <c r="AS137" s="86" t="s">
        <v>450</v>
      </c>
    </row>
    <row r="138" spans="1:45" x14ac:dyDescent="0.2">
      <c r="A138" s="121" t="s">
        <v>13</v>
      </c>
      <c r="B138" s="104" t="str">
        <f>ROUNDDOWN($B$5/2,0) &amp;" ea. Standard/Emergency/Cargo + " &amp;D138 &amp;" of any type"</f>
        <v>0 ea. Standard/Emergency/Cargo +  of any type</v>
      </c>
      <c r="C138" s="121" t="s">
        <v>12</v>
      </c>
      <c r="D138" s="1"/>
      <c r="E138" s="6"/>
      <c r="F138" s="6"/>
      <c r="G138" s="6"/>
      <c r="M138" s="14"/>
      <c r="P138" s="13"/>
      <c r="AJ138" s="14"/>
      <c r="AQ138" s="1">
        <v>135</v>
      </c>
      <c r="AR138" t="s">
        <v>837</v>
      </c>
      <c r="AS138" s="86" t="s">
        <v>450</v>
      </c>
    </row>
    <row r="139" spans="1:45" x14ac:dyDescent="0.2">
      <c r="A139" s="121" t="s">
        <v>9</v>
      </c>
      <c r="B139" s="114">
        <f>$D$138</f>
        <v>0</v>
      </c>
      <c r="C139" s="6"/>
      <c r="D139" s="6"/>
      <c r="E139" s="6"/>
      <c r="F139" s="6"/>
      <c r="G139" s="6"/>
      <c r="M139" s="14"/>
      <c r="P139" s="13"/>
      <c r="AJ139" s="14"/>
    </row>
    <row r="140" spans="1:45" x14ac:dyDescent="0.2">
      <c r="A140" s="121"/>
      <c r="B140" s="6"/>
      <c r="C140" s="6"/>
      <c r="D140" s="6"/>
      <c r="E140" s="6"/>
      <c r="F140" s="6"/>
      <c r="G140" s="6"/>
      <c r="AJ140" s="14"/>
    </row>
    <row r="141" spans="1:45" x14ac:dyDescent="0.2">
      <c r="A141" s="121" t="s">
        <v>11</v>
      </c>
      <c r="B141" s="81" t="s">
        <v>10</v>
      </c>
      <c r="C141" s="6"/>
      <c r="D141" s="6"/>
      <c r="E141" s="6"/>
      <c r="F141" s="6"/>
      <c r="G141" s="6"/>
      <c r="AJ141" s="14"/>
    </row>
    <row r="142" spans="1:45" x14ac:dyDescent="0.2">
      <c r="A142" s="121" t="s">
        <v>9</v>
      </c>
      <c r="B142" s="114">
        <f>IF(B141="None",0,IF($I$112&lt;1,1,$I$112))</f>
        <v>0</v>
      </c>
      <c r="C142" s="6"/>
      <c r="D142" s="6"/>
      <c r="E142" s="6"/>
      <c r="F142" s="6"/>
      <c r="G142" s="6"/>
      <c r="AJ142" s="14"/>
    </row>
    <row r="143" spans="1:45" x14ac:dyDescent="0.2">
      <c r="A143" s="121" t="s">
        <v>8</v>
      </c>
      <c r="B143" s="114">
        <f>VLOOKUP($B$141,$Y$40:$AC$46,3,FALSE)</f>
        <v>0</v>
      </c>
      <c r="C143" s="6"/>
      <c r="D143" s="6"/>
      <c r="E143" s="6"/>
      <c r="F143" s="6"/>
      <c r="G143" s="6"/>
      <c r="AJ143" s="14"/>
    </row>
    <row r="144" spans="1:45" x14ac:dyDescent="0.2">
      <c r="A144" s="121" t="s">
        <v>7</v>
      </c>
      <c r="B144" s="114">
        <f>VLOOKUP($B$141,$Y$40:$AC$46,4,FALSE)</f>
        <v>0</v>
      </c>
      <c r="C144" s="9" t="str">
        <f>IF($B$5&gt;$B$144,"Ship Too Large for Selected Cloaking Device",IF($B$5&lt;$B$144,"Meets Size Requirement",IF($B$144=0," ")))</f>
        <v>Ship Too Large for Selected Cloaking Device</v>
      </c>
      <c r="D144" s="8"/>
      <c r="E144" s="6"/>
      <c r="F144" s="6"/>
      <c r="G144" s="6"/>
      <c r="AJ144" s="14"/>
    </row>
    <row r="145" spans="1:36" x14ac:dyDescent="0.2">
      <c r="A145" s="121" t="s">
        <v>6</v>
      </c>
      <c r="B145" s="114">
        <f>VLOOKUP($B$141,$Y$40:$AD$46,5,FALSE)</f>
        <v>0</v>
      </c>
      <c r="C145" s="6"/>
      <c r="D145" s="6"/>
      <c r="E145" s="6"/>
      <c r="F145" s="6"/>
      <c r="G145" s="6"/>
      <c r="AJ145" s="14"/>
    </row>
    <row r="146" spans="1:36" x14ac:dyDescent="0.2">
      <c r="A146" s="121"/>
      <c r="B146" s="114">
        <f>VLOOKUP($B$141,$Y$40:$AD$46,6,FALSE)</f>
        <v>0</v>
      </c>
      <c r="C146" s="6"/>
      <c r="D146" s="6"/>
      <c r="E146" s="6"/>
      <c r="F146" s="6"/>
      <c r="G146" s="6"/>
      <c r="AJ146" s="14"/>
    </row>
    <row r="147" spans="1:36" x14ac:dyDescent="0.2">
      <c r="A147" s="121" t="s">
        <v>867</v>
      </c>
      <c r="B147" s="6"/>
      <c r="C147" s="6"/>
      <c r="D147" s="6"/>
      <c r="E147" s="6"/>
      <c r="F147" s="6"/>
      <c r="G147" s="6"/>
      <c r="AJ147" s="14"/>
    </row>
    <row r="148" spans="1:36" ht="13.5" thickBot="1" x14ac:dyDescent="0.25">
      <c r="A148" s="121" t="s">
        <v>869</v>
      </c>
      <c r="B148" s="114" t="str">
        <f>IF(B5&gt;=3,B5*10,B5) &amp;"+"&amp;D148</f>
        <v>1+</v>
      </c>
      <c r="C148" s="121" t="s">
        <v>868</v>
      </c>
      <c r="D148" s="49"/>
      <c r="E148" s="121" t="s">
        <v>870</v>
      </c>
      <c r="F148" s="114" t="str">
        <f>((B5*10)+D148)*25 &amp;" m3"</f>
        <v>250 m3</v>
      </c>
      <c r="G148" s="6"/>
      <c r="AJ148" s="14"/>
    </row>
    <row r="149" spans="1:36" ht="13.5" thickBot="1" x14ac:dyDescent="0.25">
      <c r="A149" s="121" t="s">
        <v>9</v>
      </c>
      <c r="B149" s="114">
        <f>IF(B5&lt;3,D148,IF(B2="Support/Auxiliary",ROUNDUP(D148/10,1),D148/5))</f>
        <v>0</v>
      </c>
      <c r="C149" s="94"/>
      <c r="D149" s="131" t="s">
        <v>952</v>
      </c>
      <c r="E149" s="121" t="s">
        <v>901</v>
      </c>
      <c r="F149" s="114">
        <f>(((B5*10)+D148)*25)/50</f>
        <v>5</v>
      </c>
      <c r="G149" s="6"/>
      <c r="AJ149" s="14"/>
    </row>
    <row r="150" spans="1:36" x14ac:dyDescent="0.2">
      <c r="A150" s="5"/>
      <c r="B150" s="115"/>
      <c r="C150" s="5"/>
      <c r="D150" s="5"/>
      <c r="E150" s="5"/>
      <c r="F150" s="5"/>
      <c r="G150" s="5"/>
      <c r="AJ150" s="14"/>
    </row>
    <row r="151" spans="1:36" x14ac:dyDescent="0.2">
      <c r="A151" s="105"/>
      <c r="AJ151" s="14"/>
    </row>
    <row r="152" spans="1:36" x14ac:dyDescent="0.2">
      <c r="A152" s="105"/>
      <c r="AE152" s="1"/>
      <c r="AF152" s="1"/>
      <c r="AG152" s="1"/>
      <c r="AH152" s="1"/>
      <c r="AJ152" s="14"/>
    </row>
    <row r="153" spans="1:36" x14ac:dyDescent="0.2">
      <c r="A153" s="105"/>
      <c r="AE153" s="1"/>
      <c r="AF153" s="1"/>
      <c r="AG153" s="1"/>
      <c r="AH153" s="1"/>
      <c r="AJ153" s="14"/>
    </row>
    <row r="154" spans="1:36" x14ac:dyDescent="0.2">
      <c r="A154" s="105"/>
      <c r="AJ154" s="14"/>
    </row>
    <row r="155" spans="1:36" x14ac:dyDescent="0.2">
      <c r="A155" s="105"/>
      <c r="AJ155" s="14"/>
    </row>
    <row r="156" spans="1:36" x14ac:dyDescent="0.2">
      <c r="A156" s="105"/>
      <c r="AJ156" s="14"/>
    </row>
    <row r="157" spans="1:36" x14ac:dyDescent="0.2">
      <c r="A157" s="106"/>
      <c r="AJ157" s="14"/>
    </row>
    <row r="158" spans="1:36" x14ac:dyDescent="0.2">
      <c r="A158" s="106"/>
      <c r="AJ158" s="14"/>
    </row>
    <row r="159" spans="1:36" x14ac:dyDescent="0.2">
      <c r="A159" s="105"/>
      <c r="AJ159" s="14"/>
    </row>
    <row r="160" spans="1:36" x14ac:dyDescent="0.2">
      <c r="A160" s="105"/>
      <c r="AJ160" s="14"/>
    </row>
    <row r="161" spans="1:45" x14ac:dyDescent="0.2">
      <c r="A161" s="106"/>
      <c r="AJ161" s="14"/>
    </row>
    <row r="162" spans="1:45" x14ac:dyDescent="0.2">
      <c r="AJ162" s="14"/>
    </row>
    <row r="163" spans="1:45" x14ac:dyDescent="0.2">
      <c r="AJ163" s="14"/>
    </row>
    <row r="164" spans="1:45" x14ac:dyDescent="0.2">
      <c r="AJ164" s="14"/>
    </row>
    <row r="165" spans="1:45" x14ac:dyDescent="0.2">
      <c r="AJ165" s="14"/>
    </row>
    <row r="166" spans="1:45" x14ac:dyDescent="0.2">
      <c r="AJ166" s="14"/>
    </row>
    <row r="167" spans="1:45" x14ac:dyDescent="0.2">
      <c r="AJ167" s="14"/>
    </row>
    <row r="172" spans="1:45" x14ac:dyDescent="0.2">
      <c r="AS172" s="88"/>
    </row>
  </sheetData>
  <mergeCells count="14">
    <mergeCell ref="A117:D117"/>
    <mergeCell ref="A125:D125"/>
    <mergeCell ref="A100:C100"/>
    <mergeCell ref="A36:D36"/>
    <mergeCell ref="A45:D45"/>
    <mergeCell ref="A53:D53"/>
    <mergeCell ref="A80:D80"/>
    <mergeCell ref="A104:D104"/>
    <mergeCell ref="D13:E13"/>
    <mergeCell ref="A16:D16"/>
    <mergeCell ref="B18:C18"/>
    <mergeCell ref="A22:D22"/>
    <mergeCell ref="B24:C24"/>
    <mergeCell ref="A28:D28"/>
  </mergeCells>
  <dataValidations count="16">
    <dataValidation type="list" allowBlank="1" showInputMessage="1" showErrorMessage="1" sqref="B2">
      <formula1>"Warship,Explorer,Cruiser, Destroyer,Escort,Frigate,Scout,Specialized,Support/Auxiliary"</formula1>
    </dataValidation>
    <dataValidation type="list" allowBlank="1" showInputMessage="1" showErrorMessage="1" sqref="B5">
      <formula1>$K$4:$K$13</formula1>
    </dataValidation>
    <dataValidation type="list" allowBlank="1" showInputMessage="1" showErrorMessage="1" sqref="D14">
      <formula1>$I$26:$I$35</formula1>
    </dataValidation>
    <dataValidation type="list" allowBlank="1" showInputMessage="1" showErrorMessage="1" sqref="B4">
      <formula1>$R$43:$R$92</formula1>
    </dataValidation>
    <dataValidation type="list" allowBlank="1" showInputMessage="1" showErrorMessage="1" sqref="D7:D8 B13">
      <formula1>$H$25:$H$75</formula1>
    </dataValidation>
    <dataValidation type="list" allowBlank="1" showInputMessage="1" showErrorMessage="1" sqref="B38">
      <formula1>$K$56:$K$65</formula1>
    </dataValidation>
    <dataValidation type="list" allowBlank="1" showInputMessage="1" showErrorMessage="1" sqref="B46">
      <formula1>$K$81:$K$91</formula1>
    </dataValidation>
    <dataValidation type="list" allowBlank="1" showInputMessage="1" showErrorMessage="1" sqref="B81 B91">
      <formula1>$O$25:$O$40</formula1>
    </dataValidation>
    <dataValidation type="list" allowBlank="1" showInputMessage="1" showErrorMessage="1" sqref="B24 B18">
      <formula1>$K$41:$K$45</formula1>
    </dataValidation>
    <dataValidation type="list" allowBlank="1" showInputMessage="1" showErrorMessage="1" sqref="B30">
      <formula1>$K$49:$K$53</formula1>
    </dataValidation>
    <dataValidation type="list" allowBlank="1" showInputMessage="1" showErrorMessage="1" sqref="B66 B54">
      <formula1>$O$3:$O$22</formula1>
    </dataValidation>
    <dataValidation type="list" allowBlank="1" showInputMessage="1" showErrorMessage="1" sqref="B105">
      <formula1>$K$17:$K$20</formula1>
    </dataValidation>
    <dataValidation type="list" allowBlank="1" showInputMessage="1" showErrorMessage="1" sqref="B126">
      <formula1>$H$120:$H$121</formula1>
    </dataValidation>
    <dataValidation type="list" allowBlank="1" showInputMessage="1" showErrorMessage="1" sqref="B127">
      <formula1>$H$115:$H$117</formula1>
    </dataValidation>
    <dataValidation type="list" allowBlank="1" showInputMessage="1" showErrorMessage="1" sqref="B141">
      <formula1>$Y$41:$Y$46</formula1>
    </dataValidation>
    <dataValidation type="list" allowBlank="1" showInputMessage="1" showErrorMessage="1" sqref="B118">
      <formula1>$AJ$3:$AJ$63</formula1>
    </dataValidation>
  </dataValidations>
  <pageMargins left="0.75" right="0.75" top="1" bottom="1" header="0.5" footer="0.5"/>
  <pageSetup orientation="portrait" horizontalDpi="4294967293"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72"/>
  <sheetViews>
    <sheetView workbookViewId="0">
      <selection activeCell="B1" sqref="B1"/>
    </sheetView>
  </sheetViews>
  <sheetFormatPr defaultRowHeight="12.75" x14ac:dyDescent="0.2"/>
  <cols>
    <col min="1" max="1" width="53" customWidth="1"/>
    <col min="2" max="2" width="57.5703125" customWidth="1"/>
    <col min="3" max="3" width="31.5703125" customWidth="1"/>
    <col min="4" max="4" width="23" customWidth="1"/>
    <col min="5" max="5" width="21.140625" customWidth="1"/>
    <col min="8" max="8" width="30.28515625" customWidth="1"/>
    <col min="9" max="10" width="32.85546875" customWidth="1"/>
    <col min="11" max="11" width="24" customWidth="1"/>
    <col min="13" max="13" width="12.140625" customWidth="1"/>
    <col min="14" max="14" width="11" customWidth="1"/>
    <col min="15" max="15" width="55.28515625" customWidth="1"/>
    <col min="25" max="25" width="13.42578125" customWidth="1"/>
    <col min="28" max="28" width="11.85546875" customWidth="1"/>
    <col min="29" max="29" width="15.5703125" customWidth="1"/>
    <col min="30" max="30" width="30" customWidth="1"/>
    <col min="35" max="35" width="10.85546875" customWidth="1"/>
    <col min="44" max="44" width="11.28515625" customWidth="1"/>
  </cols>
  <sheetData>
    <row r="1" spans="1:52" x14ac:dyDescent="0.2">
      <c r="A1" s="121" t="s">
        <v>408</v>
      </c>
      <c r="B1" s="1" t="s">
        <v>865</v>
      </c>
      <c r="C1" s="121" t="s">
        <v>407</v>
      </c>
      <c r="D1" s="1" t="s">
        <v>866</v>
      </c>
      <c r="E1" s="6"/>
      <c r="F1" s="6"/>
      <c r="G1" s="6"/>
      <c r="K1" s="56" t="s">
        <v>406</v>
      </c>
      <c r="L1" s="53"/>
      <c r="M1" s="53"/>
      <c r="N1" s="55"/>
      <c r="O1" s="54" t="s">
        <v>405</v>
      </c>
      <c r="P1" s="53"/>
      <c r="Q1" s="53"/>
      <c r="R1" s="53"/>
      <c r="S1" s="53"/>
      <c r="T1" s="53"/>
      <c r="U1" s="53"/>
      <c r="V1" s="52"/>
      <c r="W1" s="26" t="s">
        <v>404</v>
      </c>
      <c r="Z1" s="13" t="s">
        <v>0</v>
      </c>
      <c r="AA1" s="103" t="s">
        <v>822</v>
      </c>
      <c r="AE1" s="26" t="s">
        <v>404</v>
      </c>
      <c r="AH1" s="13" t="s">
        <v>0</v>
      </c>
      <c r="AJ1" s="26" t="s">
        <v>403</v>
      </c>
      <c r="AQ1" s="103" t="s">
        <v>822</v>
      </c>
      <c r="AW1" s="103" t="s">
        <v>843</v>
      </c>
    </row>
    <row r="2" spans="1:52" x14ac:dyDescent="0.2">
      <c r="A2" s="121" t="s">
        <v>154</v>
      </c>
      <c r="B2" s="11" t="s">
        <v>402</v>
      </c>
      <c r="C2" s="121"/>
      <c r="D2" s="37"/>
      <c r="E2" s="6"/>
      <c r="F2" s="6"/>
      <c r="G2" s="6"/>
      <c r="K2" s="51" t="s">
        <v>395</v>
      </c>
      <c r="L2" s="45" t="s">
        <v>387</v>
      </c>
      <c r="M2" s="45" t="s">
        <v>379</v>
      </c>
      <c r="N2" s="51" t="s">
        <v>113</v>
      </c>
      <c r="O2" s="41" t="s">
        <v>154</v>
      </c>
      <c r="P2" s="41" t="s">
        <v>47</v>
      </c>
      <c r="Q2" s="41" t="s">
        <v>337</v>
      </c>
      <c r="R2" s="41" t="s">
        <v>139</v>
      </c>
      <c r="S2" s="41" t="s">
        <v>296</v>
      </c>
      <c r="T2" s="41"/>
      <c r="U2" s="45"/>
      <c r="V2" s="44"/>
      <c r="W2" s="13" t="s">
        <v>401</v>
      </c>
      <c r="X2" s="13" t="s">
        <v>400</v>
      </c>
      <c r="Y2" s="13" t="s">
        <v>399</v>
      </c>
      <c r="Z2" s="13"/>
      <c r="AA2" s="84" t="s">
        <v>401</v>
      </c>
      <c r="AB2" s="84" t="s">
        <v>823</v>
      </c>
      <c r="AE2" s="13" t="s">
        <v>401</v>
      </c>
      <c r="AF2" s="13" t="s">
        <v>400</v>
      </c>
      <c r="AG2" s="13" t="s">
        <v>399</v>
      </c>
      <c r="AH2" s="13"/>
      <c r="AJ2" s="13" t="s">
        <v>85</v>
      </c>
      <c r="AK2" s="34" t="s">
        <v>47</v>
      </c>
      <c r="AL2" s="13" t="s">
        <v>74</v>
      </c>
      <c r="AM2" s="13" t="s">
        <v>336</v>
      </c>
      <c r="AO2" s="36" t="s">
        <v>65</v>
      </c>
      <c r="AP2" s="13" t="s">
        <v>296</v>
      </c>
      <c r="AQ2" s="13" t="s">
        <v>401</v>
      </c>
      <c r="AR2" s="13" t="s">
        <v>400</v>
      </c>
      <c r="AS2" s="13"/>
      <c r="AW2" t="s">
        <v>844</v>
      </c>
      <c r="AX2" t="s">
        <v>400</v>
      </c>
      <c r="AY2" t="s">
        <v>399</v>
      </c>
      <c r="AZ2" t="s">
        <v>845</v>
      </c>
    </row>
    <row r="3" spans="1:52" x14ac:dyDescent="0.2">
      <c r="A3" s="121"/>
      <c r="B3" s="6"/>
      <c r="C3" s="121"/>
      <c r="D3" s="37"/>
      <c r="E3" s="6"/>
      <c r="F3" s="6"/>
      <c r="G3" s="6"/>
      <c r="K3" s="51"/>
      <c r="L3" s="45"/>
      <c r="M3" s="45"/>
      <c r="N3" s="51"/>
      <c r="O3" s="45" t="s">
        <v>10</v>
      </c>
      <c r="P3" s="48">
        <v>0</v>
      </c>
      <c r="Q3" s="48">
        <v>0</v>
      </c>
      <c r="R3" s="48">
        <v>0</v>
      </c>
      <c r="S3" s="42" t="s">
        <v>113</v>
      </c>
      <c r="T3" s="45" t="s">
        <v>113</v>
      </c>
      <c r="U3" s="45"/>
      <c r="V3" s="44"/>
      <c r="W3" s="13"/>
      <c r="X3" s="13"/>
      <c r="Y3" s="13"/>
      <c r="Z3" s="13"/>
      <c r="AA3" s="16" t="s">
        <v>824</v>
      </c>
      <c r="AB3" t="s">
        <v>827</v>
      </c>
      <c r="AE3" s="4">
        <v>0</v>
      </c>
      <c r="AF3" s="13" t="s">
        <v>113</v>
      </c>
      <c r="AG3" s="13" t="s">
        <v>113</v>
      </c>
      <c r="AH3" s="13" t="s">
        <v>113</v>
      </c>
      <c r="AJ3" s="34" t="s">
        <v>572</v>
      </c>
      <c r="AK3" s="34"/>
      <c r="AL3" s="13"/>
      <c r="AM3" s="13"/>
      <c r="AO3" s="36"/>
      <c r="AP3" s="13"/>
      <c r="AQ3" s="4">
        <v>0</v>
      </c>
      <c r="AR3" s="13" t="s">
        <v>113</v>
      </c>
      <c r="AS3" s="13" t="s">
        <v>113</v>
      </c>
      <c r="AW3" s="1">
        <v>0</v>
      </c>
      <c r="AX3" t="s">
        <v>113</v>
      </c>
      <c r="AY3" t="s">
        <v>113</v>
      </c>
      <c r="AZ3" t="s">
        <v>113</v>
      </c>
    </row>
    <row r="4" spans="1:52" x14ac:dyDescent="0.2">
      <c r="A4" s="121" t="s">
        <v>398</v>
      </c>
      <c r="B4" s="11" t="s">
        <v>220</v>
      </c>
      <c r="C4" s="121"/>
      <c r="D4" s="37"/>
      <c r="E4" s="6"/>
      <c r="F4" s="6"/>
      <c r="G4" s="6"/>
      <c r="K4" s="46">
        <v>1</v>
      </c>
      <c r="L4" s="48">
        <v>17</v>
      </c>
      <c r="M4" s="48">
        <v>5</v>
      </c>
      <c r="N4" s="46"/>
      <c r="O4" s="73" t="s">
        <v>725</v>
      </c>
      <c r="P4" s="70"/>
      <c r="Q4" s="71"/>
      <c r="R4" s="71"/>
      <c r="S4" s="70" t="s">
        <v>113</v>
      </c>
      <c r="T4" s="72"/>
      <c r="U4" s="45"/>
      <c r="V4" s="44"/>
      <c r="W4" s="34" t="s">
        <v>397</v>
      </c>
      <c r="X4" s="4" t="s">
        <v>382</v>
      </c>
      <c r="Y4" s="4" t="s">
        <v>381</v>
      </c>
      <c r="Z4" s="4" t="s">
        <v>53</v>
      </c>
      <c r="AA4" s="16" t="s">
        <v>389</v>
      </c>
      <c r="AB4" s="38" t="s">
        <v>828</v>
      </c>
      <c r="AE4" s="50">
        <v>1</v>
      </c>
      <c r="AF4" s="4" t="s">
        <v>382</v>
      </c>
      <c r="AG4" s="4" t="s">
        <v>381</v>
      </c>
      <c r="AH4" s="4" t="s">
        <v>53</v>
      </c>
      <c r="AI4" s="13" t="s">
        <v>235</v>
      </c>
      <c r="AJ4" s="34" t="s">
        <v>784</v>
      </c>
      <c r="AK4" s="1">
        <f t="shared" ref="AK4:AK9" si="0">IF($B$2="Explorer",1,IF($B$4="Battleship",1,IF($B$4="Dreadnought",1,2)))</f>
        <v>2</v>
      </c>
      <c r="AL4" s="1">
        <v>11</v>
      </c>
      <c r="AM4" s="1">
        <v>0</v>
      </c>
      <c r="AN4" s="1">
        <v>1</v>
      </c>
      <c r="AO4" s="4" t="s">
        <v>184</v>
      </c>
      <c r="AP4" s="13" t="s">
        <v>113</v>
      </c>
      <c r="AQ4" s="50">
        <v>1</v>
      </c>
      <c r="AR4" s="86" t="s">
        <v>827</v>
      </c>
      <c r="AS4" s="4" t="s">
        <v>53</v>
      </c>
      <c r="AW4" s="1">
        <v>1</v>
      </c>
      <c r="AX4" s="1" t="s">
        <v>846</v>
      </c>
      <c r="AY4" t="s">
        <v>863</v>
      </c>
      <c r="AZ4" t="s">
        <v>53</v>
      </c>
    </row>
    <row r="5" spans="1:52" ht="12.75" customHeight="1" x14ac:dyDescent="0.2">
      <c r="A5" s="121" t="s">
        <v>395</v>
      </c>
      <c r="B5" s="11">
        <v>4</v>
      </c>
      <c r="C5" s="121" t="s">
        <v>139</v>
      </c>
      <c r="D5" s="7">
        <f>VLOOKUP($B$4,$R$43:$V$92,3,FALSE)</f>
        <v>4</v>
      </c>
      <c r="E5" s="121" t="s">
        <v>299</v>
      </c>
      <c r="F5" s="7">
        <f>VLOOKUP($B$4,$R$43:$V$92,4,FALSE)</f>
        <v>7</v>
      </c>
      <c r="G5" s="6"/>
      <c r="K5" s="46">
        <v>2</v>
      </c>
      <c r="L5" s="48">
        <v>29</v>
      </c>
      <c r="M5" s="48">
        <v>10</v>
      </c>
      <c r="N5" s="46"/>
      <c r="O5" s="74" t="s">
        <v>734</v>
      </c>
      <c r="P5" s="42">
        <v>1</v>
      </c>
      <c r="Q5" s="48">
        <v>1</v>
      </c>
      <c r="R5" s="48">
        <v>0</v>
      </c>
      <c r="S5" s="42" t="s">
        <v>113</v>
      </c>
      <c r="T5" s="41" t="s">
        <v>343</v>
      </c>
      <c r="U5" s="45"/>
      <c r="V5" s="44"/>
      <c r="W5" s="34" t="s">
        <v>392</v>
      </c>
      <c r="X5" s="4" t="s">
        <v>360</v>
      </c>
      <c r="Y5" s="4" t="s">
        <v>359</v>
      </c>
      <c r="Z5" s="4" t="s">
        <v>53</v>
      </c>
      <c r="AA5" s="85" t="s">
        <v>383</v>
      </c>
      <c r="AB5" s="38" t="s">
        <v>829</v>
      </c>
      <c r="AE5" s="1">
        <v>2</v>
      </c>
      <c r="AF5" s="4" t="s">
        <v>382</v>
      </c>
      <c r="AG5" s="4" t="s">
        <v>381</v>
      </c>
      <c r="AH5" s="4" t="s">
        <v>53</v>
      </c>
      <c r="AI5" s="13" t="s">
        <v>57</v>
      </c>
      <c r="AJ5" s="34" t="s">
        <v>767</v>
      </c>
      <c r="AK5" s="1">
        <f t="shared" si="0"/>
        <v>2</v>
      </c>
      <c r="AL5" s="1">
        <v>12</v>
      </c>
      <c r="AM5" s="30" t="s">
        <v>174</v>
      </c>
      <c r="AN5" s="1">
        <v>1</v>
      </c>
      <c r="AO5" s="4" t="s">
        <v>39</v>
      </c>
      <c r="AP5" s="13" t="s">
        <v>113</v>
      </c>
      <c r="AQ5" s="1">
        <v>2</v>
      </c>
      <c r="AR5" s="86" t="s">
        <v>827</v>
      </c>
      <c r="AS5" s="4" t="s">
        <v>53</v>
      </c>
      <c r="AW5" s="1">
        <v>2</v>
      </c>
      <c r="AX5" s="1" t="s">
        <v>847</v>
      </c>
      <c r="AY5" t="s">
        <v>863</v>
      </c>
      <c r="AZ5" t="s">
        <v>53</v>
      </c>
    </row>
    <row r="6" spans="1:52" x14ac:dyDescent="0.2">
      <c r="A6" s="121"/>
      <c r="B6" s="15"/>
      <c r="C6" s="121"/>
      <c r="D6" s="15"/>
      <c r="E6" s="121"/>
      <c r="F6" s="15"/>
      <c r="G6" s="6"/>
      <c r="K6" s="46">
        <v>3</v>
      </c>
      <c r="L6" s="48">
        <v>41</v>
      </c>
      <c r="M6" s="48">
        <v>15</v>
      </c>
      <c r="N6" s="46"/>
      <c r="O6" s="73" t="s">
        <v>726</v>
      </c>
      <c r="P6" s="70"/>
      <c r="Q6" s="70"/>
      <c r="R6" s="70"/>
      <c r="S6" s="70" t="s">
        <v>113</v>
      </c>
      <c r="T6" s="72"/>
      <c r="U6" s="45"/>
      <c r="V6" s="44"/>
      <c r="W6" s="34" t="s">
        <v>389</v>
      </c>
      <c r="X6" s="4" t="s">
        <v>335</v>
      </c>
      <c r="Y6" s="4" t="s">
        <v>334</v>
      </c>
      <c r="Z6" s="4" t="s">
        <v>39</v>
      </c>
      <c r="AA6" s="85" t="s">
        <v>375</v>
      </c>
      <c r="AB6" s="38" t="s">
        <v>830</v>
      </c>
      <c r="AE6" s="1">
        <v>3</v>
      </c>
      <c r="AF6" s="4" t="s">
        <v>382</v>
      </c>
      <c r="AG6" s="4" t="s">
        <v>381</v>
      </c>
      <c r="AH6" s="4" t="s">
        <v>53</v>
      </c>
      <c r="AI6" s="13" t="s">
        <v>57</v>
      </c>
      <c r="AJ6" s="34" t="s">
        <v>768</v>
      </c>
      <c r="AK6" s="1">
        <f t="shared" si="0"/>
        <v>2</v>
      </c>
      <c r="AL6" s="1">
        <v>12</v>
      </c>
      <c r="AM6" s="30" t="s">
        <v>174</v>
      </c>
      <c r="AN6" s="1">
        <v>1</v>
      </c>
      <c r="AO6" s="4" t="s">
        <v>179</v>
      </c>
      <c r="AP6" s="13" t="s">
        <v>113</v>
      </c>
      <c r="AQ6" s="1">
        <v>3</v>
      </c>
      <c r="AR6" s="86" t="s">
        <v>827</v>
      </c>
      <c r="AS6" s="4" t="s">
        <v>53</v>
      </c>
      <c r="AW6" s="1">
        <v>3</v>
      </c>
      <c r="AX6" s="1" t="s">
        <v>848</v>
      </c>
      <c r="AY6" t="s">
        <v>863</v>
      </c>
      <c r="AZ6" t="s">
        <v>53</v>
      </c>
    </row>
    <row r="7" spans="1:52" x14ac:dyDescent="0.2">
      <c r="A7" s="121" t="s">
        <v>387</v>
      </c>
      <c r="B7" s="7">
        <f>($F$7-$D$8-$B$19-$B$25-$B$31-$B$39-$B$47-$B$55-$B$67-$B$82-$B$92-$B$106-$B$119-$D$126-$D$127-$B$131-$B$135-$B$139-$B$142-B149+$D$7)</f>
        <v>1</v>
      </c>
      <c r="C7" s="121" t="s">
        <v>386</v>
      </c>
      <c r="D7" s="81">
        <v>0</v>
      </c>
      <c r="E7" s="121" t="s">
        <v>385</v>
      </c>
      <c r="F7" s="7">
        <f>VLOOKUP($B$5,$K$4:$M$13,2)</f>
        <v>53</v>
      </c>
      <c r="G7" s="6"/>
      <c r="K7" s="46">
        <v>4</v>
      </c>
      <c r="L7" s="48">
        <v>53</v>
      </c>
      <c r="M7" s="48">
        <v>20</v>
      </c>
      <c r="N7" s="46"/>
      <c r="O7" s="74" t="s">
        <v>733</v>
      </c>
      <c r="P7" s="42">
        <v>1</v>
      </c>
      <c r="Q7" s="48">
        <v>2</v>
      </c>
      <c r="R7" s="48">
        <v>2</v>
      </c>
      <c r="S7" s="42" t="s">
        <v>113</v>
      </c>
      <c r="T7" s="41" t="s">
        <v>343</v>
      </c>
      <c r="U7" s="45"/>
      <c r="V7" s="44"/>
      <c r="W7" s="34" t="s">
        <v>383</v>
      </c>
      <c r="X7" s="4" t="s">
        <v>312</v>
      </c>
      <c r="Y7" s="4" t="s">
        <v>311</v>
      </c>
      <c r="Z7" s="4" t="s">
        <v>39</v>
      </c>
      <c r="AA7" s="85" t="s">
        <v>369</v>
      </c>
      <c r="AB7" s="38" t="s">
        <v>831</v>
      </c>
      <c r="AE7" s="1">
        <v>4</v>
      </c>
      <c r="AF7" s="4" t="s">
        <v>382</v>
      </c>
      <c r="AG7" s="4" t="s">
        <v>381</v>
      </c>
      <c r="AH7" s="4" t="s">
        <v>53</v>
      </c>
      <c r="AI7" s="13" t="s">
        <v>57</v>
      </c>
      <c r="AJ7" s="34" t="s">
        <v>769</v>
      </c>
      <c r="AK7" s="1">
        <f t="shared" si="0"/>
        <v>2</v>
      </c>
      <c r="AL7" s="1">
        <v>12</v>
      </c>
      <c r="AM7" s="30" t="s">
        <v>174</v>
      </c>
      <c r="AN7" s="1">
        <v>1</v>
      </c>
      <c r="AO7" s="4" t="s">
        <v>20</v>
      </c>
      <c r="AP7" s="13" t="s">
        <v>113</v>
      </c>
      <c r="AQ7" s="1">
        <v>4</v>
      </c>
      <c r="AR7" s="86" t="s">
        <v>827</v>
      </c>
      <c r="AS7" s="4" t="s">
        <v>53</v>
      </c>
      <c r="AW7" s="1">
        <v>4</v>
      </c>
      <c r="AX7" s="1" t="s">
        <v>849</v>
      </c>
      <c r="AY7" t="s">
        <v>863</v>
      </c>
      <c r="AZ7" t="s">
        <v>53</v>
      </c>
    </row>
    <row r="8" spans="1:52" x14ac:dyDescent="0.2">
      <c r="A8" s="121" t="s">
        <v>379</v>
      </c>
      <c r="B8" s="7">
        <f>F8+D8-D7</f>
        <v>20</v>
      </c>
      <c r="C8" s="121" t="s">
        <v>378</v>
      </c>
      <c r="D8" s="81">
        <v>0</v>
      </c>
      <c r="E8" s="121" t="s">
        <v>377</v>
      </c>
      <c r="F8" s="7">
        <f>VLOOKUP($B$5,$K$4:$M$13,3)</f>
        <v>20</v>
      </c>
      <c r="G8" s="6"/>
      <c r="K8" s="46">
        <v>5</v>
      </c>
      <c r="L8" s="48">
        <v>65</v>
      </c>
      <c r="M8" s="48">
        <v>25</v>
      </c>
      <c r="N8" s="46"/>
      <c r="O8" s="73" t="s">
        <v>727</v>
      </c>
      <c r="P8" s="70"/>
      <c r="Q8" s="70"/>
      <c r="R8" s="70"/>
      <c r="S8" s="70" t="s">
        <v>113</v>
      </c>
      <c r="T8" s="72"/>
      <c r="U8" s="45"/>
      <c r="V8" s="44"/>
      <c r="W8" s="34" t="s">
        <v>375</v>
      </c>
      <c r="X8" s="4" t="s">
        <v>277</v>
      </c>
      <c r="Y8" s="4" t="s">
        <v>276</v>
      </c>
      <c r="Z8" s="4" t="s">
        <v>20</v>
      </c>
      <c r="AA8" s="85" t="s">
        <v>366</v>
      </c>
      <c r="AB8" s="38" t="s">
        <v>832</v>
      </c>
      <c r="AE8" s="17">
        <v>5</v>
      </c>
      <c r="AF8" s="2" t="s">
        <v>360</v>
      </c>
      <c r="AG8" s="2" t="s">
        <v>359</v>
      </c>
      <c r="AH8" s="2" t="s">
        <v>53</v>
      </c>
      <c r="AI8" s="13" t="s">
        <v>57</v>
      </c>
      <c r="AJ8" s="69" t="s">
        <v>770</v>
      </c>
      <c r="AK8" s="1">
        <f t="shared" si="0"/>
        <v>2</v>
      </c>
      <c r="AL8" s="1">
        <v>12</v>
      </c>
      <c r="AM8" s="30" t="s">
        <v>174</v>
      </c>
      <c r="AN8" s="1">
        <v>1</v>
      </c>
      <c r="AO8" s="4" t="s">
        <v>191</v>
      </c>
      <c r="AP8" s="13" t="s">
        <v>113</v>
      </c>
      <c r="AQ8" s="17">
        <v>5</v>
      </c>
      <c r="AR8" s="2" t="s">
        <v>827</v>
      </c>
      <c r="AS8" s="2" t="s">
        <v>53</v>
      </c>
      <c r="AW8" s="1">
        <v>5</v>
      </c>
      <c r="AX8" s="1" t="s">
        <v>850</v>
      </c>
      <c r="AY8" t="s">
        <v>863</v>
      </c>
      <c r="AZ8" t="s">
        <v>53</v>
      </c>
    </row>
    <row r="9" spans="1:52" x14ac:dyDescent="0.2">
      <c r="A9" s="121" t="s">
        <v>373</v>
      </c>
      <c r="B9" s="1">
        <v>110</v>
      </c>
      <c r="C9" s="121" t="s">
        <v>372</v>
      </c>
      <c r="D9" s="49">
        <v>21</v>
      </c>
      <c r="E9" s="121" t="s">
        <v>371</v>
      </c>
      <c r="F9" s="1">
        <v>161</v>
      </c>
      <c r="G9" s="6"/>
      <c r="H9" s="1"/>
      <c r="K9" s="46">
        <v>6</v>
      </c>
      <c r="L9" s="48">
        <v>77</v>
      </c>
      <c r="M9" s="48">
        <v>30</v>
      </c>
      <c r="N9" s="46"/>
      <c r="O9" s="74" t="s">
        <v>735</v>
      </c>
      <c r="P9" s="42">
        <f>IF($B$4="Heavy",2,IF($B$4="Heavy Cruiser",2,IF($B$4="Heavy Destroyer",2,IF($B$4="Heavy Escort",2,IF($B$4="Heavy Frigate",2,3)))))</f>
        <v>3</v>
      </c>
      <c r="Q9" s="42">
        <v>3</v>
      </c>
      <c r="R9" s="42">
        <v>3</v>
      </c>
      <c r="S9" s="42" t="s">
        <v>113</v>
      </c>
      <c r="T9" s="41" t="s">
        <v>343</v>
      </c>
      <c r="U9" s="45"/>
      <c r="V9" s="44"/>
      <c r="W9" s="34" t="s">
        <v>369</v>
      </c>
      <c r="X9" s="4" t="s">
        <v>223</v>
      </c>
      <c r="Y9" s="4" t="s">
        <v>222</v>
      </c>
      <c r="Z9" s="4" t="s">
        <v>20</v>
      </c>
      <c r="AA9" s="85" t="s">
        <v>364</v>
      </c>
      <c r="AB9" s="38" t="s">
        <v>833</v>
      </c>
      <c r="AE9" s="1">
        <v>6</v>
      </c>
      <c r="AF9" s="4" t="s">
        <v>360</v>
      </c>
      <c r="AG9" s="4" t="s">
        <v>359</v>
      </c>
      <c r="AH9" s="4" t="s">
        <v>53</v>
      </c>
      <c r="AI9" s="13" t="s">
        <v>57</v>
      </c>
      <c r="AJ9" s="34" t="s">
        <v>771</v>
      </c>
      <c r="AK9" s="1">
        <f t="shared" si="0"/>
        <v>2</v>
      </c>
      <c r="AL9" s="1">
        <v>12</v>
      </c>
      <c r="AM9" s="30" t="s">
        <v>174</v>
      </c>
      <c r="AN9" s="1">
        <v>1</v>
      </c>
      <c r="AO9" s="4" t="s">
        <v>28</v>
      </c>
      <c r="AP9" s="13" t="s">
        <v>113</v>
      </c>
      <c r="AQ9" s="1">
        <v>6</v>
      </c>
      <c r="AR9" s="86" t="s">
        <v>827</v>
      </c>
      <c r="AS9" s="4" t="s">
        <v>53</v>
      </c>
      <c r="AW9" s="1">
        <v>6</v>
      </c>
      <c r="AX9" s="1" t="s">
        <v>382</v>
      </c>
      <c r="AY9" t="s">
        <v>863</v>
      </c>
      <c r="AZ9" t="s">
        <v>53</v>
      </c>
    </row>
    <row r="10" spans="1:52" x14ac:dyDescent="0.2">
      <c r="A10" s="121"/>
      <c r="B10" s="96" t="str">
        <f>IF(($F$7-$D$8-$B$19-$B$25-$B$31-$B$39-$B$47-$B$55-$B$67-$B$82-$B$92-$B$106-$B$119-$D$126-$D$127-$B$131-$B$135-$B$139-$B$142-B149+$D$7)&lt;0,"Space Must = 0 or higher","Meets Space Requirements")</f>
        <v>Meets Space Requirements</v>
      </c>
      <c r="C10" s="121"/>
      <c r="D10" s="37"/>
      <c r="E10" s="6"/>
      <c r="F10" s="6"/>
      <c r="G10" s="6"/>
      <c r="K10" s="46">
        <v>7</v>
      </c>
      <c r="L10" s="48">
        <v>89</v>
      </c>
      <c r="M10" s="48">
        <v>35</v>
      </c>
      <c r="N10" s="46"/>
      <c r="O10" s="73" t="s">
        <v>728</v>
      </c>
      <c r="P10" s="70"/>
      <c r="Q10" s="70"/>
      <c r="R10" s="70"/>
      <c r="S10" s="70" t="s">
        <v>113</v>
      </c>
      <c r="T10" s="72"/>
      <c r="U10" s="45"/>
      <c r="V10" s="44"/>
      <c r="W10" s="34" t="s">
        <v>366</v>
      </c>
      <c r="X10" s="4" t="s">
        <v>162</v>
      </c>
      <c r="Y10" s="4" t="s">
        <v>161</v>
      </c>
      <c r="Z10" s="4" t="s">
        <v>28</v>
      </c>
      <c r="AA10" s="85" t="s">
        <v>361</v>
      </c>
      <c r="AB10" s="38" t="s">
        <v>834</v>
      </c>
      <c r="AE10" s="1">
        <v>7</v>
      </c>
      <c r="AF10" s="4" t="s">
        <v>360</v>
      </c>
      <c r="AG10" s="4" t="s">
        <v>359</v>
      </c>
      <c r="AH10" s="4" t="s">
        <v>53</v>
      </c>
      <c r="AJ10" s="14" t="s">
        <v>568</v>
      </c>
      <c r="AK10" s="1"/>
      <c r="AL10" s="1"/>
      <c r="AM10" s="1"/>
      <c r="AN10" s="1"/>
      <c r="AO10" s="1"/>
      <c r="AP10" s="13" t="s">
        <v>113</v>
      </c>
      <c r="AQ10" s="1">
        <v>7</v>
      </c>
      <c r="AR10" s="86" t="s">
        <v>827</v>
      </c>
      <c r="AS10" s="4" t="s">
        <v>53</v>
      </c>
      <c r="AW10" s="1">
        <v>7</v>
      </c>
      <c r="AX10" s="86" t="s">
        <v>851</v>
      </c>
      <c r="AY10" s="4" t="s">
        <v>382</v>
      </c>
      <c r="AZ10" t="s">
        <v>39</v>
      </c>
    </row>
    <row r="11" spans="1:52" x14ac:dyDescent="0.2">
      <c r="A11" s="121"/>
      <c r="B11" s="96" t="str">
        <f>IF(F8+D8-D7&gt;=1,"Meets Structure Requirements","Min. Structure 1")</f>
        <v>Meets Structure Requirements</v>
      </c>
      <c r="C11" s="121"/>
      <c r="D11" s="37"/>
      <c r="E11" s="6"/>
      <c r="F11" s="6"/>
      <c r="G11" s="6"/>
      <c r="K11" s="46">
        <v>8</v>
      </c>
      <c r="L11" s="48">
        <v>101</v>
      </c>
      <c r="M11" s="48">
        <v>40</v>
      </c>
      <c r="N11" s="46"/>
      <c r="O11" s="74" t="s">
        <v>736</v>
      </c>
      <c r="P11" s="42">
        <f>IF($B$4="Heavy",2,IF($B$4="Heavy Cruiser",2,IF($B$4="Heavy Destroyer",2,IF($B$4="Heavy Escort",2,IF($B$4="Heavy Frigate",2,3)))))</f>
        <v>3</v>
      </c>
      <c r="Q11" s="42">
        <v>4</v>
      </c>
      <c r="R11" s="42">
        <v>5</v>
      </c>
      <c r="S11" s="42" t="s">
        <v>113</v>
      </c>
      <c r="T11" s="41" t="s">
        <v>343</v>
      </c>
      <c r="U11" s="45"/>
      <c r="V11" s="44"/>
      <c r="W11" s="34" t="s">
        <v>364</v>
      </c>
      <c r="X11" s="4" t="s">
        <v>97</v>
      </c>
      <c r="Y11" s="4" t="s">
        <v>96</v>
      </c>
      <c r="Z11" s="4" t="s">
        <v>28</v>
      </c>
      <c r="AA11" s="85" t="s">
        <v>354</v>
      </c>
      <c r="AB11" s="38" t="s">
        <v>835</v>
      </c>
      <c r="AE11" s="1">
        <v>8</v>
      </c>
      <c r="AF11" s="4" t="s">
        <v>360</v>
      </c>
      <c r="AG11" s="4" t="s">
        <v>359</v>
      </c>
      <c r="AH11" s="4" t="s">
        <v>53</v>
      </c>
      <c r="AI11" s="13" t="s">
        <v>55</v>
      </c>
      <c r="AJ11" s="34" t="s">
        <v>772</v>
      </c>
      <c r="AK11" s="1">
        <f t="shared" ref="AK11:AK16" si="1">IF($B$2="Explorer",2,IF($B$4="Battleship",2,IF($B$4="Dreadnought",2,4)))</f>
        <v>4</v>
      </c>
      <c r="AL11" s="1">
        <v>12</v>
      </c>
      <c r="AM11" s="30" t="s">
        <v>174</v>
      </c>
      <c r="AN11" s="1">
        <v>2</v>
      </c>
      <c r="AO11" s="4" t="s">
        <v>184</v>
      </c>
      <c r="AP11" s="13" t="s">
        <v>113</v>
      </c>
      <c r="AQ11" s="1">
        <v>8</v>
      </c>
      <c r="AR11" s="86" t="s">
        <v>827</v>
      </c>
      <c r="AS11" s="4" t="s">
        <v>53</v>
      </c>
      <c r="AW11" s="1">
        <v>8</v>
      </c>
      <c r="AX11" s="86" t="s">
        <v>851</v>
      </c>
      <c r="AY11" s="4" t="s">
        <v>382</v>
      </c>
      <c r="AZ11" t="s">
        <v>39</v>
      </c>
    </row>
    <row r="12" spans="1:52" x14ac:dyDescent="0.2">
      <c r="A12" s="121"/>
      <c r="B12" s="15"/>
      <c r="C12" s="121"/>
      <c r="D12" s="37"/>
      <c r="E12" s="6"/>
      <c r="F12" s="6"/>
      <c r="G12" s="6"/>
      <c r="K12" s="46">
        <v>9</v>
      </c>
      <c r="L12" s="48">
        <v>113</v>
      </c>
      <c r="M12" s="48">
        <v>45</v>
      </c>
      <c r="N12" s="46"/>
      <c r="O12" s="73" t="s">
        <v>729</v>
      </c>
      <c r="P12" s="70"/>
      <c r="Q12" s="70"/>
      <c r="R12" s="70"/>
      <c r="S12" s="70" t="s">
        <v>113</v>
      </c>
      <c r="T12" s="72"/>
      <c r="U12" s="45"/>
      <c r="V12" s="44"/>
      <c r="W12" s="34" t="s">
        <v>361</v>
      </c>
      <c r="X12" s="18" t="s">
        <v>34</v>
      </c>
      <c r="Y12" s="4" t="s">
        <v>33</v>
      </c>
      <c r="Z12" s="4" t="s">
        <v>0</v>
      </c>
      <c r="AA12" s="85" t="s">
        <v>825</v>
      </c>
      <c r="AB12" s="38" t="s">
        <v>836</v>
      </c>
      <c r="AE12" s="1">
        <v>9</v>
      </c>
      <c r="AF12" s="4" t="s">
        <v>360</v>
      </c>
      <c r="AG12" s="4" t="s">
        <v>359</v>
      </c>
      <c r="AH12" s="4" t="s">
        <v>53</v>
      </c>
      <c r="AI12" s="13" t="s">
        <v>55</v>
      </c>
      <c r="AJ12" s="34" t="s">
        <v>773</v>
      </c>
      <c r="AK12" s="1">
        <f t="shared" si="1"/>
        <v>4</v>
      </c>
      <c r="AL12" s="1">
        <v>12</v>
      </c>
      <c r="AM12" s="30" t="s">
        <v>174</v>
      </c>
      <c r="AN12" s="1">
        <v>2</v>
      </c>
      <c r="AO12" s="4" t="s">
        <v>39</v>
      </c>
      <c r="AP12" s="13" t="s">
        <v>113</v>
      </c>
      <c r="AQ12" s="1">
        <v>9</v>
      </c>
      <c r="AR12" s="86" t="s">
        <v>827</v>
      </c>
      <c r="AS12" s="4" t="s">
        <v>53</v>
      </c>
      <c r="AW12" s="1">
        <v>9</v>
      </c>
      <c r="AX12" s="86" t="s">
        <v>360</v>
      </c>
      <c r="AY12" s="4" t="s">
        <v>382</v>
      </c>
      <c r="AZ12" t="s">
        <v>39</v>
      </c>
    </row>
    <row r="13" spans="1:52" x14ac:dyDescent="0.2">
      <c r="A13" s="121" t="s">
        <v>357</v>
      </c>
      <c r="B13" s="81">
        <v>5</v>
      </c>
      <c r="C13" s="121" t="s">
        <v>356</v>
      </c>
      <c r="D13" s="119" t="str">
        <f>ROUNDDOWN((D9/3),0) &amp;" @ 3m high or; " &amp; ROUNDDOWN((D9/4),0) &amp;" @ 4m high or; " &amp; ROUNDDOWN((D9/5),0) &amp;" @ 5m high"</f>
        <v>7 @ 3m high or; 5 @ 4m high or; 4 @ 5m high</v>
      </c>
      <c r="E13" s="119"/>
      <c r="F13" s="37"/>
      <c r="G13" s="6"/>
      <c r="K13" s="43">
        <v>10</v>
      </c>
      <c r="L13" s="47">
        <v>125</v>
      </c>
      <c r="M13" s="47">
        <v>50</v>
      </c>
      <c r="N13" s="46"/>
      <c r="O13" s="74" t="s">
        <v>737</v>
      </c>
      <c r="P13" s="42">
        <f>IF($B$4="Heavy",3,IF($B$4="Heavy Cruiser",3,IF($B$4="Heavy Destroyer",3,IF($B$4="Heavy Escort",3,IF($B$4="Heavy Frigate",3,4)))))</f>
        <v>4</v>
      </c>
      <c r="Q13" s="42">
        <v>5</v>
      </c>
      <c r="R13" s="42">
        <v>4</v>
      </c>
      <c r="S13" s="42" t="s">
        <v>113</v>
      </c>
      <c r="T13" s="41" t="s">
        <v>343</v>
      </c>
      <c r="U13" s="45"/>
      <c r="V13" s="44"/>
      <c r="W13" s="34" t="s">
        <v>354</v>
      </c>
      <c r="X13" s="4" t="s">
        <v>5</v>
      </c>
      <c r="Y13" s="4" t="s">
        <v>4</v>
      </c>
      <c r="Z13" s="4" t="s">
        <v>0</v>
      </c>
      <c r="AA13" s="85" t="s">
        <v>826</v>
      </c>
      <c r="AB13" s="38" t="s">
        <v>837</v>
      </c>
      <c r="AE13" s="17">
        <v>10</v>
      </c>
      <c r="AF13" s="2" t="s">
        <v>335</v>
      </c>
      <c r="AG13" s="2" t="s">
        <v>334</v>
      </c>
      <c r="AH13" s="2" t="s">
        <v>39</v>
      </c>
      <c r="AI13" s="13" t="s">
        <v>55</v>
      </c>
      <c r="AJ13" s="69" t="s">
        <v>774</v>
      </c>
      <c r="AK13" s="1">
        <f t="shared" si="1"/>
        <v>4</v>
      </c>
      <c r="AL13" s="1">
        <v>12</v>
      </c>
      <c r="AM13" s="30" t="s">
        <v>174</v>
      </c>
      <c r="AN13" s="1">
        <v>2</v>
      </c>
      <c r="AO13" s="4" t="s">
        <v>179</v>
      </c>
      <c r="AP13" s="13" t="s">
        <v>113</v>
      </c>
      <c r="AQ13" s="17">
        <v>10</v>
      </c>
      <c r="AR13" s="2" t="s">
        <v>828</v>
      </c>
      <c r="AS13" s="2" t="s">
        <v>39</v>
      </c>
      <c r="AW13" s="17">
        <v>10</v>
      </c>
      <c r="AX13" s="86" t="s">
        <v>360</v>
      </c>
      <c r="AY13" s="4" t="s">
        <v>382</v>
      </c>
      <c r="AZ13" t="s">
        <v>39</v>
      </c>
    </row>
    <row r="14" spans="1:52" x14ac:dyDescent="0.2">
      <c r="A14" s="121" t="s">
        <v>352</v>
      </c>
      <c r="B14" s="7">
        <f>B13*D14</f>
        <v>75</v>
      </c>
      <c r="C14" s="121" t="s">
        <v>351</v>
      </c>
      <c r="D14" s="81">
        <v>15</v>
      </c>
      <c r="E14" s="121" t="s">
        <v>350</v>
      </c>
      <c r="F14" s="7" t="str">
        <f>VLOOKUP($B$4,$R$43:$V$124,5, FALSE)</f>
        <v>15-25</v>
      </c>
      <c r="G14" s="6"/>
      <c r="M14" s="53"/>
      <c r="N14" s="48"/>
      <c r="O14" s="73" t="s">
        <v>730</v>
      </c>
      <c r="P14" s="70"/>
      <c r="Q14" s="70"/>
      <c r="R14" s="70"/>
      <c r="S14" s="70" t="s">
        <v>113</v>
      </c>
      <c r="T14" s="72"/>
      <c r="U14" s="45"/>
      <c r="V14" s="44"/>
      <c r="W14" s="34" t="s">
        <v>3</v>
      </c>
      <c r="X14" s="4" t="s">
        <v>2</v>
      </c>
      <c r="Y14" s="4" t="s">
        <v>1</v>
      </c>
      <c r="Z14" s="4" t="s">
        <v>0</v>
      </c>
      <c r="AA14" s="14"/>
      <c r="AE14" s="1">
        <v>11</v>
      </c>
      <c r="AF14" s="4" t="s">
        <v>335</v>
      </c>
      <c r="AG14" s="4" t="s">
        <v>334</v>
      </c>
      <c r="AH14" s="4" t="s">
        <v>39</v>
      </c>
      <c r="AI14" s="13" t="s">
        <v>55</v>
      </c>
      <c r="AJ14" s="34" t="s">
        <v>775</v>
      </c>
      <c r="AK14" s="1">
        <f t="shared" si="1"/>
        <v>4</v>
      </c>
      <c r="AL14" s="1">
        <v>12</v>
      </c>
      <c r="AM14" s="30" t="s">
        <v>174</v>
      </c>
      <c r="AN14" s="1">
        <v>2</v>
      </c>
      <c r="AO14" s="4" t="s">
        <v>20</v>
      </c>
      <c r="AP14" s="13" t="s">
        <v>113</v>
      </c>
      <c r="AQ14" s="1">
        <v>11</v>
      </c>
      <c r="AR14" s="86" t="s">
        <v>828</v>
      </c>
      <c r="AS14" s="4" t="s">
        <v>39</v>
      </c>
      <c r="AW14" s="1">
        <v>11</v>
      </c>
      <c r="AX14" s="86" t="s">
        <v>360</v>
      </c>
      <c r="AY14" s="4" t="s">
        <v>382</v>
      </c>
      <c r="AZ14" t="s">
        <v>39</v>
      </c>
    </row>
    <row r="15" spans="1:52" x14ac:dyDescent="0.2">
      <c r="A15" s="92"/>
      <c r="B15" s="15"/>
      <c r="C15" s="37"/>
      <c r="D15" s="37"/>
      <c r="E15" s="6"/>
      <c r="F15" s="6"/>
      <c r="G15" s="6"/>
      <c r="K15" s="103" t="s">
        <v>816</v>
      </c>
      <c r="L15" s="76"/>
      <c r="M15" s="75"/>
      <c r="N15" s="48"/>
      <c r="O15" s="75" t="s">
        <v>349</v>
      </c>
      <c r="P15" s="42">
        <f>IF($B$4="Heavy",3,IF($B$4="Heavy Cruiser",3,IF($B$4="Heavy Destroyer",3,IF($B$4="Heavy Escort",3,IF($B$4="Heavy Frigate",3,4)))))</f>
        <v>4</v>
      </c>
      <c r="Q15" s="42">
        <v>6</v>
      </c>
      <c r="R15" s="42">
        <v>5</v>
      </c>
      <c r="S15" s="42" t="s">
        <v>113</v>
      </c>
      <c r="T15" s="41" t="s">
        <v>343</v>
      </c>
      <c r="U15" s="45"/>
      <c r="V15" s="44"/>
      <c r="AE15" s="1">
        <v>12</v>
      </c>
      <c r="AF15" s="4" t="s">
        <v>335</v>
      </c>
      <c r="AG15" s="4" t="s">
        <v>334</v>
      </c>
      <c r="AH15" s="4" t="s">
        <v>39</v>
      </c>
      <c r="AI15" s="13" t="s">
        <v>55</v>
      </c>
      <c r="AJ15" s="34" t="s">
        <v>776</v>
      </c>
      <c r="AK15" s="1">
        <f t="shared" si="1"/>
        <v>4</v>
      </c>
      <c r="AL15" s="1">
        <v>12</v>
      </c>
      <c r="AM15" s="30" t="s">
        <v>174</v>
      </c>
      <c r="AN15" s="1">
        <v>2</v>
      </c>
      <c r="AO15" s="4" t="s">
        <v>191</v>
      </c>
      <c r="AP15" s="13" t="s">
        <v>113</v>
      </c>
      <c r="AQ15" s="1">
        <v>12</v>
      </c>
      <c r="AR15" s="86" t="s">
        <v>828</v>
      </c>
      <c r="AS15" s="4" t="s">
        <v>39</v>
      </c>
      <c r="AW15" s="1">
        <v>12</v>
      </c>
      <c r="AX15" s="86" t="s">
        <v>852</v>
      </c>
      <c r="AY15" s="4" t="s">
        <v>382</v>
      </c>
      <c r="AZ15" t="s">
        <v>39</v>
      </c>
    </row>
    <row r="16" spans="1:52" x14ac:dyDescent="0.2">
      <c r="A16" s="117" t="s">
        <v>342</v>
      </c>
      <c r="B16" s="117"/>
      <c r="C16" s="117"/>
      <c r="D16" s="117"/>
      <c r="E16" s="5"/>
      <c r="F16" s="5"/>
      <c r="G16" s="5"/>
      <c r="K16" t="s">
        <v>154</v>
      </c>
      <c r="L16" t="s">
        <v>47</v>
      </c>
      <c r="M16" s="45" t="s">
        <v>817</v>
      </c>
      <c r="N16" s="48" t="s">
        <v>818</v>
      </c>
      <c r="O16" s="73" t="s">
        <v>731</v>
      </c>
      <c r="P16" s="70"/>
      <c r="Q16" s="70"/>
      <c r="R16" s="70"/>
      <c r="S16" s="70"/>
      <c r="T16" s="72"/>
      <c r="U16" s="45"/>
      <c r="V16" s="44"/>
      <c r="AE16" s="1">
        <v>13</v>
      </c>
      <c r="AF16" s="4" t="s">
        <v>335</v>
      </c>
      <c r="AG16" s="4" t="s">
        <v>334</v>
      </c>
      <c r="AH16" s="4" t="s">
        <v>39</v>
      </c>
      <c r="AI16" s="13" t="s">
        <v>55</v>
      </c>
      <c r="AJ16" s="34" t="s">
        <v>777</v>
      </c>
      <c r="AK16" s="1">
        <f t="shared" si="1"/>
        <v>4</v>
      </c>
      <c r="AL16" s="1">
        <v>12</v>
      </c>
      <c r="AM16" s="30" t="s">
        <v>174</v>
      </c>
      <c r="AN16" s="1">
        <v>2</v>
      </c>
      <c r="AO16" s="4" t="s">
        <v>28</v>
      </c>
      <c r="AP16" s="13" t="s">
        <v>113</v>
      </c>
      <c r="AQ16" s="1">
        <v>13</v>
      </c>
      <c r="AR16" s="86" t="s">
        <v>828</v>
      </c>
      <c r="AS16" s="4" t="s">
        <v>39</v>
      </c>
      <c r="AW16" s="1">
        <v>13</v>
      </c>
      <c r="AX16" s="86" t="s">
        <v>852</v>
      </c>
      <c r="AY16" s="4" t="s">
        <v>382</v>
      </c>
      <c r="AZ16" t="s">
        <v>39</v>
      </c>
    </row>
    <row r="17" spans="1:52" x14ac:dyDescent="0.2">
      <c r="A17" s="92"/>
      <c r="B17" s="15"/>
      <c r="C17" s="37"/>
      <c r="D17" s="37"/>
      <c r="E17" s="6"/>
      <c r="F17" s="6"/>
      <c r="G17" s="6"/>
      <c r="K17" t="s">
        <v>820</v>
      </c>
      <c r="L17" s="1">
        <v>8</v>
      </c>
      <c r="M17" s="48">
        <v>14</v>
      </c>
      <c r="N17" s="48">
        <v>3</v>
      </c>
      <c r="O17" s="74" t="s">
        <v>738</v>
      </c>
      <c r="P17" s="42">
        <f>IF($B$4="Heavy",4,IF($B$4="Heavy Cruiser",4,IF($B$4="Heavy Destroyer",4,IF($B$4="Heavy Escort",4,IF($B$4="Heavy Frigate",4,5)))))</f>
        <v>5</v>
      </c>
      <c r="Q17" s="42">
        <v>7</v>
      </c>
      <c r="R17" s="42">
        <v>4</v>
      </c>
      <c r="S17" s="42" t="s">
        <v>113</v>
      </c>
      <c r="T17" s="41" t="s">
        <v>343</v>
      </c>
      <c r="U17" s="40"/>
      <c r="V17" s="44"/>
      <c r="AE17" s="1">
        <v>14</v>
      </c>
      <c r="AF17" s="4" t="s">
        <v>335</v>
      </c>
      <c r="AG17" s="4" t="s">
        <v>334</v>
      </c>
      <c r="AH17" s="4" t="s">
        <v>39</v>
      </c>
      <c r="AI17" s="13"/>
      <c r="AJ17" s="34" t="s">
        <v>573</v>
      </c>
      <c r="AK17" s="1"/>
      <c r="AL17" s="1"/>
      <c r="AM17" s="30"/>
      <c r="AN17" s="1"/>
      <c r="AO17" s="4"/>
      <c r="AP17" s="13"/>
      <c r="AQ17" s="1">
        <v>14</v>
      </c>
      <c r="AR17" s="86" t="s">
        <v>828</v>
      </c>
      <c r="AS17" s="4" t="s">
        <v>39</v>
      </c>
      <c r="AW17" s="1">
        <v>14</v>
      </c>
      <c r="AX17" s="86" t="s">
        <v>852</v>
      </c>
      <c r="AY17" s="4" t="s">
        <v>382</v>
      </c>
      <c r="AZ17" t="s">
        <v>39</v>
      </c>
    </row>
    <row r="18" spans="1:52" x14ac:dyDescent="0.2">
      <c r="A18" s="121" t="s">
        <v>154</v>
      </c>
      <c r="B18" s="120" t="s">
        <v>873</v>
      </c>
      <c r="C18" s="120"/>
      <c r="D18" s="37"/>
      <c r="E18" s="6"/>
      <c r="F18" s="6"/>
      <c r="G18" s="6"/>
      <c r="K18" s="36" t="s">
        <v>819</v>
      </c>
      <c r="L18" s="28">
        <v>9</v>
      </c>
      <c r="M18" s="83">
        <v>16</v>
      </c>
      <c r="N18" s="28">
        <v>4</v>
      </c>
      <c r="O18" s="73" t="s">
        <v>732</v>
      </c>
      <c r="P18" s="70"/>
      <c r="Q18" s="70"/>
      <c r="R18" s="70"/>
      <c r="S18" s="70"/>
      <c r="T18" s="72"/>
      <c r="U18" s="45"/>
      <c r="V18" s="39"/>
      <c r="AE18" s="17">
        <v>15</v>
      </c>
      <c r="AF18" s="2" t="s">
        <v>312</v>
      </c>
      <c r="AG18" s="2" t="s">
        <v>311</v>
      </c>
      <c r="AH18" s="2" t="s">
        <v>39</v>
      </c>
      <c r="AI18" s="13" t="s">
        <v>176</v>
      </c>
      <c r="AJ18" s="34" t="s">
        <v>778</v>
      </c>
      <c r="AK18" s="1">
        <f>IF($B$2="Explorer",4,IF($B$4="Battleship",4,IF($B$4="Dreadnought",4,6)))</f>
        <v>6</v>
      </c>
      <c r="AL18" s="1">
        <v>13</v>
      </c>
      <c r="AM18" s="30" t="s">
        <v>174</v>
      </c>
      <c r="AN18" s="1">
        <v>3</v>
      </c>
      <c r="AO18" s="4" t="s">
        <v>184</v>
      </c>
      <c r="AP18" s="13" t="s">
        <v>113</v>
      </c>
      <c r="AQ18" s="17">
        <v>15</v>
      </c>
      <c r="AR18" s="2" t="s">
        <v>829</v>
      </c>
      <c r="AS18" s="2" t="s">
        <v>39</v>
      </c>
      <c r="AW18" s="17">
        <v>15</v>
      </c>
      <c r="AX18" s="86" t="s">
        <v>852</v>
      </c>
      <c r="AY18" s="4" t="s">
        <v>382</v>
      </c>
      <c r="AZ18" t="s">
        <v>39</v>
      </c>
    </row>
    <row r="19" spans="1:52" x14ac:dyDescent="0.2">
      <c r="A19" s="121" t="s">
        <v>47</v>
      </c>
      <c r="B19" s="7">
        <f>VLOOKUP(B18,$K$41:$M$45,2,FALSE)</f>
        <v>6</v>
      </c>
      <c r="C19" s="37"/>
      <c r="D19" s="37"/>
      <c r="E19" s="6"/>
      <c r="F19" s="6"/>
      <c r="G19" s="6"/>
      <c r="K19" t="s">
        <v>821</v>
      </c>
      <c r="L19" s="1">
        <v>10</v>
      </c>
      <c r="M19" s="1">
        <v>18</v>
      </c>
      <c r="N19" s="48">
        <v>5</v>
      </c>
      <c r="O19" s="41"/>
      <c r="P19" s="42">
        <f>IF($B$4="Heavy",4,IF($B$4="Heavy Cruiser",4,IF($B$4="Heavy Destroyer",4,IF($B$4="Heavy Escort",4,IF($B$4="Heavy Frigate",4,5)))))</f>
        <v>5</v>
      </c>
      <c r="Q19" s="42">
        <v>8</v>
      </c>
      <c r="R19" s="42">
        <v>5</v>
      </c>
      <c r="S19" s="42"/>
      <c r="T19" s="41" t="s">
        <v>343</v>
      </c>
      <c r="U19" s="45"/>
      <c r="V19" s="45"/>
      <c r="AE19" s="1">
        <v>16</v>
      </c>
      <c r="AF19" s="4" t="s">
        <v>312</v>
      </c>
      <c r="AG19" s="4" t="s">
        <v>311</v>
      </c>
      <c r="AH19" s="4" t="s">
        <v>39</v>
      </c>
      <c r="AI19" s="13" t="s">
        <v>176</v>
      </c>
      <c r="AJ19" s="34" t="s">
        <v>779</v>
      </c>
      <c r="AK19" s="1">
        <f>IF($B$2="Explorer",4,IF($B$4="Battleship",4,IF($B$4="Dreadnought",4,6)))</f>
        <v>6</v>
      </c>
      <c r="AL19" s="1">
        <v>13</v>
      </c>
      <c r="AM19" s="30" t="s">
        <v>174</v>
      </c>
      <c r="AN19" s="1">
        <v>3</v>
      </c>
      <c r="AO19" s="4" t="s">
        <v>39</v>
      </c>
      <c r="AP19" s="13"/>
      <c r="AQ19" s="1">
        <v>16</v>
      </c>
      <c r="AR19" s="86" t="s">
        <v>829</v>
      </c>
      <c r="AS19" s="4" t="s">
        <v>39</v>
      </c>
      <c r="AW19" s="1">
        <v>16</v>
      </c>
      <c r="AX19" s="86" t="s">
        <v>335</v>
      </c>
      <c r="AY19" s="4" t="s">
        <v>852</v>
      </c>
      <c r="AZ19" t="s">
        <v>39</v>
      </c>
    </row>
    <row r="20" spans="1:52" x14ac:dyDescent="0.2">
      <c r="A20" s="121" t="s">
        <v>65</v>
      </c>
      <c r="B20" s="7" t="str">
        <f>VLOOKUP(B18,$K$41:$M$45,3,FALSE)</f>
        <v>E (+8)</v>
      </c>
      <c r="C20" s="37"/>
      <c r="D20" s="37"/>
      <c r="E20" s="6"/>
      <c r="F20" s="6"/>
      <c r="G20" s="6"/>
      <c r="K20" t="s">
        <v>10</v>
      </c>
      <c r="L20">
        <v>0</v>
      </c>
      <c r="M20">
        <v>0</v>
      </c>
      <c r="N20" s="109">
        <v>0</v>
      </c>
      <c r="O20" s="76" t="s">
        <v>840</v>
      </c>
      <c r="S20" s="42"/>
      <c r="T20" s="41"/>
      <c r="U20" s="45"/>
      <c r="V20" s="45"/>
      <c r="AE20" s="1">
        <v>17</v>
      </c>
      <c r="AF20" s="4" t="s">
        <v>312</v>
      </c>
      <c r="AG20" s="4" t="s">
        <v>311</v>
      </c>
      <c r="AH20" s="4" t="s">
        <v>39</v>
      </c>
      <c r="AI20" s="13" t="s">
        <v>176</v>
      </c>
      <c r="AJ20" s="69" t="s">
        <v>780</v>
      </c>
      <c r="AK20" s="1">
        <f>IF($B$2="Explorer",4,IF($B$4="Battleship",4,IF($B$4="Dreadnought",4,6)))</f>
        <v>6</v>
      </c>
      <c r="AL20" s="1">
        <v>13</v>
      </c>
      <c r="AM20" s="30" t="s">
        <v>174</v>
      </c>
      <c r="AN20" s="1">
        <v>3</v>
      </c>
      <c r="AO20" s="4" t="s">
        <v>39</v>
      </c>
      <c r="AP20" s="13"/>
      <c r="AQ20" s="1">
        <v>17</v>
      </c>
      <c r="AR20" s="86" t="s">
        <v>829</v>
      </c>
      <c r="AS20" s="4" t="s">
        <v>39</v>
      </c>
      <c r="AW20" s="1">
        <v>17</v>
      </c>
      <c r="AX20" s="86" t="s">
        <v>335</v>
      </c>
      <c r="AY20" s="4" t="s">
        <v>852</v>
      </c>
      <c r="AZ20" t="s">
        <v>39</v>
      </c>
    </row>
    <row r="21" spans="1:52" x14ac:dyDescent="0.2">
      <c r="A21" s="92"/>
      <c r="B21" s="15"/>
      <c r="C21" s="37"/>
      <c r="D21" s="37"/>
      <c r="E21" s="6"/>
      <c r="F21" s="6"/>
      <c r="G21" s="6"/>
      <c r="M21" t="s">
        <v>877</v>
      </c>
      <c r="N21" s="48" t="s">
        <v>857</v>
      </c>
      <c r="O21" s="90" t="s">
        <v>841</v>
      </c>
      <c r="P21" s="1">
        <v>1</v>
      </c>
      <c r="Q21" s="1">
        <v>1</v>
      </c>
      <c r="R21" s="1">
        <v>2</v>
      </c>
      <c r="S21" t="s">
        <v>113</v>
      </c>
      <c r="T21" s="41" t="s">
        <v>343</v>
      </c>
      <c r="V21" s="45"/>
      <c r="AE21" s="1">
        <v>18</v>
      </c>
      <c r="AF21" s="4" t="s">
        <v>312</v>
      </c>
      <c r="AG21" s="4" t="s">
        <v>311</v>
      </c>
      <c r="AH21" s="4" t="s">
        <v>39</v>
      </c>
      <c r="AJ21" s="14" t="s">
        <v>565</v>
      </c>
      <c r="AK21" s="1"/>
      <c r="AL21" s="1"/>
      <c r="AM21" s="1"/>
      <c r="AN21" s="1"/>
      <c r="AO21" s="1"/>
      <c r="AP21" s="13"/>
      <c r="AQ21" s="1">
        <v>18</v>
      </c>
      <c r="AR21" s="86" t="s">
        <v>829</v>
      </c>
      <c r="AS21" s="4" t="s">
        <v>39</v>
      </c>
      <c r="AW21" s="1">
        <v>18</v>
      </c>
      <c r="AX21" s="86" t="s">
        <v>335</v>
      </c>
      <c r="AY21" s="4" t="s">
        <v>852</v>
      </c>
      <c r="AZ21" t="s">
        <v>39</v>
      </c>
    </row>
    <row r="22" spans="1:52" x14ac:dyDescent="0.2">
      <c r="A22" s="117" t="s">
        <v>325</v>
      </c>
      <c r="B22" s="117"/>
      <c r="C22" s="117"/>
      <c r="D22" s="117"/>
      <c r="E22" s="5"/>
      <c r="F22" s="5"/>
      <c r="G22" s="5"/>
      <c r="N22" s="48" t="s">
        <v>858</v>
      </c>
      <c r="O22" s="77" t="s">
        <v>842</v>
      </c>
      <c r="P22" s="42">
        <v>1</v>
      </c>
      <c r="Q22" s="42">
        <v>2</v>
      </c>
      <c r="R22" s="42">
        <v>2</v>
      </c>
      <c r="S22" s="42" t="s">
        <v>113</v>
      </c>
      <c r="T22" s="41" t="s">
        <v>343</v>
      </c>
      <c r="U22" s="45"/>
      <c r="V22" s="45"/>
      <c r="AE22" s="1">
        <v>19</v>
      </c>
      <c r="AF22" s="4" t="s">
        <v>312</v>
      </c>
      <c r="AG22" s="4" t="s">
        <v>311</v>
      </c>
      <c r="AH22" s="4" t="s">
        <v>39</v>
      </c>
      <c r="AI22" s="13" t="s">
        <v>51</v>
      </c>
      <c r="AJ22" s="34" t="s">
        <v>781</v>
      </c>
      <c r="AK22" s="1">
        <f>IF($B$2="Explorer",6,IF($B$4="Battleship",6,IF($B$4="Dreadnought",6,8)))</f>
        <v>8</v>
      </c>
      <c r="AL22" s="1">
        <v>14</v>
      </c>
      <c r="AM22" s="30" t="s">
        <v>174</v>
      </c>
      <c r="AN22" s="1">
        <v>3</v>
      </c>
      <c r="AO22" s="4" t="s">
        <v>39</v>
      </c>
      <c r="AP22" s="13"/>
      <c r="AQ22" s="1">
        <v>19</v>
      </c>
      <c r="AR22" s="86" t="s">
        <v>829</v>
      </c>
      <c r="AS22" s="4" t="s">
        <v>39</v>
      </c>
      <c r="AW22" s="1">
        <v>19</v>
      </c>
      <c r="AX22" s="86" t="s">
        <v>335</v>
      </c>
      <c r="AY22" s="4" t="s">
        <v>852</v>
      </c>
      <c r="AZ22" t="s">
        <v>39</v>
      </c>
    </row>
    <row r="23" spans="1:52" x14ac:dyDescent="0.2">
      <c r="A23" s="92"/>
      <c r="B23" s="15"/>
      <c r="C23" s="37"/>
      <c r="D23" s="37"/>
      <c r="E23" s="6"/>
      <c r="F23" s="6"/>
      <c r="G23" s="6"/>
      <c r="O23" s="26" t="s">
        <v>341</v>
      </c>
      <c r="P23" s="25"/>
      <c r="Q23" s="25"/>
      <c r="R23" s="25"/>
      <c r="V23" s="26" t="s">
        <v>340</v>
      </c>
      <c r="AE23" s="1">
        <v>20</v>
      </c>
      <c r="AF23" s="4" t="s">
        <v>312</v>
      </c>
      <c r="AG23" s="4" t="s">
        <v>311</v>
      </c>
      <c r="AH23" s="4" t="s">
        <v>39</v>
      </c>
      <c r="AI23" s="13" t="s">
        <v>46</v>
      </c>
      <c r="AJ23" s="34" t="s">
        <v>782</v>
      </c>
      <c r="AK23" s="1">
        <f>IF($B$2="Explorer",7,IF($B$4="Battleship",7,IF($B$4="Dreadnought",7,9)))</f>
        <v>9</v>
      </c>
      <c r="AL23" s="1">
        <v>14</v>
      </c>
      <c r="AM23" s="30" t="s">
        <v>174</v>
      </c>
      <c r="AN23" s="1">
        <v>4</v>
      </c>
      <c r="AO23" s="4" t="s">
        <v>20</v>
      </c>
      <c r="AP23" s="13" t="s">
        <v>113</v>
      </c>
      <c r="AQ23" s="1">
        <v>20</v>
      </c>
      <c r="AR23" s="86" t="s">
        <v>829</v>
      </c>
      <c r="AS23" s="4" t="s">
        <v>39</v>
      </c>
      <c r="AW23" s="1">
        <v>20</v>
      </c>
      <c r="AX23" s="86" t="s">
        <v>335</v>
      </c>
      <c r="AY23" s="4" t="s">
        <v>852</v>
      </c>
      <c r="AZ23" t="s">
        <v>39</v>
      </c>
    </row>
    <row r="24" spans="1:52" x14ac:dyDescent="0.2">
      <c r="A24" s="121" t="s">
        <v>154</v>
      </c>
      <c r="B24" s="120" t="s">
        <v>872</v>
      </c>
      <c r="C24" s="120"/>
      <c r="D24" s="37"/>
      <c r="E24" s="6"/>
      <c r="F24" s="6"/>
      <c r="G24" s="6"/>
      <c r="H24" s="101" t="s">
        <v>338</v>
      </c>
      <c r="I24" s="102"/>
      <c r="O24" t="s">
        <v>154</v>
      </c>
      <c r="P24" t="s">
        <v>47</v>
      </c>
      <c r="Q24" t="s">
        <v>337</v>
      </c>
      <c r="R24" t="s">
        <v>139</v>
      </c>
      <c r="S24" t="s">
        <v>296</v>
      </c>
      <c r="V24" s="13" t="s">
        <v>85</v>
      </c>
      <c r="W24" s="34" t="s">
        <v>47</v>
      </c>
      <c r="X24" s="13" t="s">
        <v>74</v>
      </c>
      <c r="Y24" s="13" t="s">
        <v>336</v>
      </c>
      <c r="AA24" s="13" t="s">
        <v>65</v>
      </c>
      <c r="AB24" s="13" t="s">
        <v>296</v>
      </c>
      <c r="AE24" s="1">
        <v>21</v>
      </c>
      <c r="AF24" s="4" t="s">
        <v>312</v>
      </c>
      <c r="AG24" s="4" t="s">
        <v>311</v>
      </c>
      <c r="AH24" s="4" t="s">
        <v>39</v>
      </c>
      <c r="AJ24" s="14" t="s">
        <v>572</v>
      </c>
      <c r="AK24" s="1"/>
      <c r="AL24" s="1"/>
      <c r="AM24" s="1"/>
      <c r="AN24" s="1"/>
      <c r="AO24" s="1"/>
      <c r="AP24" s="13" t="s">
        <v>113</v>
      </c>
      <c r="AQ24" s="1">
        <v>21</v>
      </c>
      <c r="AR24" s="86" t="s">
        <v>829</v>
      </c>
      <c r="AS24" s="4" t="s">
        <v>39</v>
      </c>
      <c r="AW24" s="1">
        <v>21</v>
      </c>
      <c r="AX24" s="86" t="s">
        <v>853</v>
      </c>
      <c r="AY24" s="4" t="s">
        <v>852</v>
      </c>
      <c r="AZ24" t="s">
        <v>184</v>
      </c>
    </row>
    <row r="25" spans="1:52" x14ac:dyDescent="0.2">
      <c r="A25" s="121" t="s">
        <v>47</v>
      </c>
      <c r="B25" s="7">
        <f>VLOOKUP(B24,$K$41:$M$45,2,FALSE)</f>
        <v>5</v>
      </c>
      <c r="C25" s="37"/>
      <c r="D25" s="37"/>
      <c r="E25" s="6"/>
      <c r="F25" s="6"/>
      <c r="G25" s="6"/>
      <c r="H25">
        <v>0</v>
      </c>
      <c r="O25" s="76" t="s">
        <v>10</v>
      </c>
      <c r="P25" s="1">
        <v>0</v>
      </c>
      <c r="Q25" s="1">
        <v>0</v>
      </c>
      <c r="R25" s="1">
        <v>0</v>
      </c>
      <c r="S25" s="38" t="s">
        <v>113</v>
      </c>
      <c r="T25" s="13" t="s">
        <v>113</v>
      </c>
      <c r="V25" t="s">
        <v>10</v>
      </c>
      <c r="W25" s="1">
        <v>0</v>
      </c>
      <c r="X25" s="1">
        <v>10</v>
      </c>
      <c r="Y25" s="1">
        <v>0</v>
      </c>
      <c r="Z25" s="1">
        <v>0</v>
      </c>
      <c r="AA25" s="1"/>
      <c r="AE25" s="1">
        <v>22</v>
      </c>
      <c r="AF25" s="4" t="s">
        <v>312</v>
      </c>
      <c r="AG25" s="4" t="s">
        <v>311</v>
      </c>
      <c r="AH25" s="4" t="s">
        <v>39</v>
      </c>
      <c r="AI25" s="13" t="s">
        <v>243</v>
      </c>
      <c r="AJ25" s="14" t="s">
        <v>783</v>
      </c>
      <c r="AK25" s="1">
        <f t="shared" ref="AK25:AK30" si="2">IF($B$2="Explorer",1,IF($B$4="Battleship",1,IF($B$4="Dreadnought",1,2)))</f>
        <v>2</v>
      </c>
      <c r="AL25" s="1">
        <v>10</v>
      </c>
      <c r="AM25" s="30" t="s">
        <v>208</v>
      </c>
      <c r="AN25" s="1">
        <v>1</v>
      </c>
      <c r="AO25" s="4" t="s">
        <v>53</v>
      </c>
      <c r="AP25" s="13" t="s">
        <v>113</v>
      </c>
      <c r="AQ25" s="1">
        <v>22</v>
      </c>
      <c r="AR25" s="86" t="s">
        <v>829</v>
      </c>
      <c r="AS25" s="4" t="s">
        <v>39</v>
      </c>
      <c r="AW25" s="1">
        <v>22</v>
      </c>
      <c r="AX25" s="86" t="s">
        <v>853</v>
      </c>
      <c r="AY25" s="4" t="s">
        <v>852</v>
      </c>
      <c r="AZ25" t="s">
        <v>184</v>
      </c>
    </row>
    <row r="26" spans="1:52" x14ac:dyDescent="0.2">
      <c r="A26" s="121" t="s">
        <v>65</v>
      </c>
      <c r="B26" s="7" t="str">
        <f>VLOOKUP(B24,$K$41:$M$45,3,FALSE)</f>
        <v>D (+6)</v>
      </c>
      <c r="C26" s="37"/>
      <c r="D26" s="37"/>
      <c r="E26" s="6"/>
      <c r="F26" s="6"/>
      <c r="G26" s="6"/>
      <c r="H26">
        <v>1</v>
      </c>
      <c r="I26">
        <v>5</v>
      </c>
      <c r="O26" s="78" t="s">
        <v>739</v>
      </c>
      <c r="P26" s="79"/>
      <c r="Q26" s="79"/>
      <c r="R26" s="79"/>
      <c r="S26" s="70" t="s">
        <v>113</v>
      </c>
      <c r="T26" s="80"/>
      <c r="V26" s="13" t="s">
        <v>57</v>
      </c>
      <c r="W26" s="1">
        <f>IF($B$2="Explorer",1,IF($B$4="Battleship",1,IF($B$4="Dreadnought",1,2)))</f>
        <v>2</v>
      </c>
      <c r="X26" s="1">
        <v>12</v>
      </c>
      <c r="Y26" s="30" t="s">
        <v>174</v>
      </c>
      <c r="Z26" s="1">
        <v>1</v>
      </c>
      <c r="AA26" s="4" t="s">
        <v>53</v>
      </c>
      <c r="AB26" s="13" t="s">
        <v>330</v>
      </c>
      <c r="AC26" s="13" t="s">
        <v>314</v>
      </c>
      <c r="AE26" s="1">
        <v>23</v>
      </c>
      <c r="AF26" s="4" t="s">
        <v>312</v>
      </c>
      <c r="AG26" s="4" t="s">
        <v>311</v>
      </c>
      <c r="AH26" s="4" t="s">
        <v>39</v>
      </c>
      <c r="AI26" s="13" t="s">
        <v>243</v>
      </c>
      <c r="AJ26" s="14" t="s">
        <v>785</v>
      </c>
      <c r="AK26" s="1">
        <f t="shared" si="2"/>
        <v>2</v>
      </c>
      <c r="AL26" s="1">
        <v>10</v>
      </c>
      <c r="AM26" s="30" t="s">
        <v>208</v>
      </c>
      <c r="AN26" s="1">
        <v>1</v>
      </c>
      <c r="AO26" s="4" t="s">
        <v>184</v>
      </c>
      <c r="AP26" s="13" t="s">
        <v>113</v>
      </c>
      <c r="AQ26" s="1">
        <v>23</v>
      </c>
      <c r="AR26" s="86" t="s">
        <v>829</v>
      </c>
      <c r="AS26" s="4" t="s">
        <v>39</v>
      </c>
      <c r="AW26" s="1">
        <v>23</v>
      </c>
      <c r="AX26" s="86" t="s">
        <v>853</v>
      </c>
      <c r="AY26" s="4" t="s">
        <v>852</v>
      </c>
      <c r="AZ26" t="s">
        <v>184</v>
      </c>
    </row>
    <row r="27" spans="1:52" x14ac:dyDescent="0.2">
      <c r="A27" s="92"/>
      <c r="B27" s="6"/>
      <c r="C27" s="6"/>
      <c r="D27" s="6"/>
      <c r="E27" s="6"/>
      <c r="F27" s="6"/>
      <c r="G27" s="6"/>
      <c r="H27">
        <v>2</v>
      </c>
      <c r="I27">
        <v>10</v>
      </c>
      <c r="O27" s="74" t="s">
        <v>744</v>
      </c>
      <c r="P27" s="1">
        <v>1</v>
      </c>
      <c r="Q27" s="1">
        <v>2</v>
      </c>
      <c r="R27" s="1">
        <v>2</v>
      </c>
      <c r="S27" s="38" t="s">
        <v>113</v>
      </c>
      <c r="T27" s="13" t="s">
        <v>321</v>
      </c>
      <c r="V27" s="13" t="s">
        <v>55</v>
      </c>
      <c r="W27" s="1">
        <f>IF($B$2="Explorer",2,IF($B$4="Battleship",2,IF($B$4="Dreadnought",2,4)))</f>
        <v>4</v>
      </c>
      <c r="X27" s="1">
        <v>12</v>
      </c>
      <c r="Y27" s="30" t="s">
        <v>174</v>
      </c>
      <c r="Z27" s="1">
        <v>2</v>
      </c>
      <c r="AA27" s="4" t="s">
        <v>53</v>
      </c>
      <c r="AB27" s="13" t="s">
        <v>328</v>
      </c>
      <c r="AC27" s="13" t="s">
        <v>314</v>
      </c>
      <c r="AE27" s="1">
        <v>24</v>
      </c>
      <c r="AF27" s="4" t="s">
        <v>312</v>
      </c>
      <c r="AG27" s="4" t="s">
        <v>311</v>
      </c>
      <c r="AH27" s="4" t="s">
        <v>39</v>
      </c>
      <c r="AI27" s="13" t="s">
        <v>57</v>
      </c>
      <c r="AJ27" s="14" t="s">
        <v>786</v>
      </c>
      <c r="AK27" s="1">
        <f t="shared" si="2"/>
        <v>2</v>
      </c>
      <c r="AL27" s="1">
        <v>12</v>
      </c>
      <c r="AM27" s="30" t="s">
        <v>174</v>
      </c>
      <c r="AN27" s="1">
        <v>1</v>
      </c>
      <c r="AO27" s="4" t="s">
        <v>39</v>
      </c>
      <c r="AP27" s="13" t="s">
        <v>113</v>
      </c>
      <c r="AQ27" s="1">
        <v>24</v>
      </c>
      <c r="AR27" s="86" t="s">
        <v>829</v>
      </c>
      <c r="AS27" s="4" t="s">
        <v>39</v>
      </c>
      <c r="AW27" s="1">
        <v>24</v>
      </c>
      <c r="AX27" s="86" t="s">
        <v>853</v>
      </c>
      <c r="AY27" s="4" t="s">
        <v>852</v>
      </c>
      <c r="AZ27" t="s">
        <v>184</v>
      </c>
    </row>
    <row r="28" spans="1:52" x14ac:dyDescent="0.2">
      <c r="A28" s="117" t="s">
        <v>309</v>
      </c>
      <c r="B28" s="117"/>
      <c r="C28" s="117"/>
      <c r="D28" s="117"/>
      <c r="E28" s="5"/>
      <c r="F28" s="5"/>
      <c r="G28" s="5"/>
      <c r="H28">
        <v>3</v>
      </c>
      <c r="I28">
        <v>15</v>
      </c>
      <c r="L28" s="14"/>
      <c r="O28" s="78" t="s">
        <v>740</v>
      </c>
      <c r="P28" s="79"/>
      <c r="Q28" s="79"/>
      <c r="R28" s="79"/>
      <c r="S28" s="70" t="s">
        <v>113</v>
      </c>
      <c r="T28" s="80"/>
      <c r="V28" s="13" t="s">
        <v>176</v>
      </c>
      <c r="W28" s="1">
        <f>IF($B$2="Explorer",4,IF($B$4="Battleship",4,IF($B$4="Dreadnought",4,6)))</f>
        <v>6</v>
      </c>
      <c r="X28" s="1">
        <v>13</v>
      </c>
      <c r="Y28" s="30" t="s">
        <v>174</v>
      </c>
      <c r="Z28" s="1">
        <v>3</v>
      </c>
      <c r="AA28" s="4" t="s">
        <v>39</v>
      </c>
      <c r="AB28" s="13" t="s">
        <v>326</v>
      </c>
      <c r="AC28" s="13" t="s">
        <v>314</v>
      </c>
      <c r="AE28" s="17">
        <v>25</v>
      </c>
      <c r="AF28" s="2" t="s">
        <v>277</v>
      </c>
      <c r="AG28" s="2" t="s">
        <v>276</v>
      </c>
      <c r="AH28" s="2" t="s">
        <v>20</v>
      </c>
      <c r="AI28" s="13" t="s">
        <v>57</v>
      </c>
      <c r="AJ28" s="14" t="s">
        <v>787</v>
      </c>
      <c r="AK28" s="1">
        <f t="shared" si="2"/>
        <v>2</v>
      </c>
      <c r="AL28" s="1">
        <v>12</v>
      </c>
      <c r="AM28" s="30" t="s">
        <v>174</v>
      </c>
      <c r="AN28" s="1">
        <v>1</v>
      </c>
      <c r="AO28" s="4" t="s">
        <v>179</v>
      </c>
      <c r="AP28" s="13" t="s">
        <v>113</v>
      </c>
      <c r="AQ28" s="17">
        <v>25</v>
      </c>
      <c r="AR28" s="2" t="s">
        <v>830</v>
      </c>
      <c r="AS28" s="2" t="s">
        <v>20</v>
      </c>
      <c r="AW28" s="17">
        <v>25</v>
      </c>
      <c r="AX28" s="86" t="s">
        <v>853</v>
      </c>
      <c r="AY28" s="4" t="s">
        <v>852</v>
      </c>
      <c r="AZ28" t="s">
        <v>184</v>
      </c>
    </row>
    <row r="29" spans="1:52" x14ac:dyDescent="0.2">
      <c r="A29" s="92"/>
      <c r="B29" s="6"/>
      <c r="C29" s="6"/>
      <c r="D29" s="6"/>
      <c r="E29" s="6"/>
      <c r="F29" s="6"/>
      <c r="G29" s="6"/>
      <c r="H29">
        <v>4</v>
      </c>
      <c r="I29">
        <v>20</v>
      </c>
      <c r="L29" s="14"/>
      <c r="O29" s="74" t="s">
        <v>745</v>
      </c>
      <c r="P29" s="1">
        <f>IF($B$2="Cruiser",1,2)</f>
        <v>1</v>
      </c>
      <c r="Q29" s="1">
        <v>3</v>
      </c>
      <c r="R29" s="1">
        <v>2</v>
      </c>
      <c r="S29" s="38" t="s">
        <v>113</v>
      </c>
      <c r="T29" s="13" t="s">
        <v>321</v>
      </c>
      <c r="V29" s="13" t="s">
        <v>51</v>
      </c>
      <c r="W29" s="1">
        <f>IF($B$2="Explorer",6,IF($B$4="Battleship",6,IF($B$4="Dreadnought",6,8)))</f>
        <v>8</v>
      </c>
      <c r="X29" s="1">
        <v>14</v>
      </c>
      <c r="Y29" s="30" t="s">
        <v>174</v>
      </c>
      <c r="Z29" s="1">
        <v>3</v>
      </c>
      <c r="AA29" s="4" t="s">
        <v>39</v>
      </c>
      <c r="AB29" s="13" t="s">
        <v>324</v>
      </c>
      <c r="AC29" s="13" t="s">
        <v>314</v>
      </c>
      <c r="AE29" s="1">
        <v>26</v>
      </c>
      <c r="AF29" s="4" t="s">
        <v>277</v>
      </c>
      <c r="AG29" s="4" t="s">
        <v>276</v>
      </c>
      <c r="AH29" s="4" t="s">
        <v>20</v>
      </c>
      <c r="AI29" s="13" t="s">
        <v>57</v>
      </c>
      <c r="AJ29" s="14" t="s">
        <v>788</v>
      </c>
      <c r="AK29" s="1">
        <f t="shared" si="2"/>
        <v>2</v>
      </c>
      <c r="AL29" s="1">
        <v>12</v>
      </c>
      <c r="AM29" s="30" t="s">
        <v>174</v>
      </c>
      <c r="AN29" s="1">
        <v>1</v>
      </c>
      <c r="AO29" s="4" t="s">
        <v>20</v>
      </c>
      <c r="AP29" s="13" t="s">
        <v>113</v>
      </c>
      <c r="AQ29" s="1">
        <v>26</v>
      </c>
      <c r="AR29" s="86" t="s">
        <v>830</v>
      </c>
      <c r="AS29" s="4" t="s">
        <v>20</v>
      </c>
      <c r="AW29" s="1">
        <v>26</v>
      </c>
      <c r="AX29" s="86" t="s">
        <v>853</v>
      </c>
      <c r="AY29" s="4" t="s">
        <v>852</v>
      </c>
      <c r="AZ29" t="s">
        <v>184</v>
      </c>
    </row>
    <row r="30" spans="1:52" x14ac:dyDescent="0.2">
      <c r="A30" s="121" t="s">
        <v>154</v>
      </c>
      <c r="B30" s="81" t="s">
        <v>55</v>
      </c>
      <c r="C30" s="6"/>
      <c r="D30" s="6"/>
      <c r="E30" s="6"/>
      <c r="F30" s="6"/>
      <c r="G30" s="6"/>
      <c r="H30">
        <v>5</v>
      </c>
      <c r="I30">
        <v>25</v>
      </c>
      <c r="L30" s="14"/>
      <c r="O30" s="73" t="s">
        <v>741</v>
      </c>
      <c r="P30" s="79"/>
      <c r="Q30" s="79"/>
      <c r="R30" s="79"/>
      <c r="S30" s="70" t="s">
        <v>113</v>
      </c>
      <c r="T30" s="80"/>
      <c r="V30" s="13" t="s">
        <v>46</v>
      </c>
      <c r="W30" s="1">
        <f>IF($B$2="Explorer",7,IF($B$4="Battleship",7,IF($B$4="Dreadnought",7,9)))</f>
        <v>9</v>
      </c>
      <c r="X30" s="1">
        <v>14</v>
      </c>
      <c r="Y30" s="30" t="s">
        <v>174</v>
      </c>
      <c r="Z30" s="1">
        <v>4</v>
      </c>
      <c r="AA30" s="4" t="s">
        <v>20</v>
      </c>
      <c r="AB30" s="13" t="s">
        <v>323</v>
      </c>
      <c r="AC30" s="13" t="s">
        <v>314</v>
      </c>
      <c r="AE30" s="1">
        <v>27</v>
      </c>
      <c r="AF30" s="4" t="s">
        <v>277</v>
      </c>
      <c r="AG30" s="4" t="s">
        <v>276</v>
      </c>
      <c r="AH30" s="4" t="s">
        <v>20</v>
      </c>
      <c r="AI30" s="13" t="s">
        <v>57</v>
      </c>
      <c r="AJ30" s="14" t="s">
        <v>789</v>
      </c>
      <c r="AK30" s="1">
        <f t="shared" si="2"/>
        <v>2</v>
      </c>
      <c r="AL30" s="1">
        <v>12</v>
      </c>
      <c r="AM30" s="30" t="s">
        <v>174</v>
      </c>
      <c r="AN30" s="1">
        <v>1</v>
      </c>
      <c r="AO30" s="4" t="s">
        <v>191</v>
      </c>
      <c r="AP30" s="13" t="s">
        <v>113</v>
      </c>
      <c r="AQ30" s="1">
        <v>27</v>
      </c>
      <c r="AR30" s="86" t="s">
        <v>830</v>
      </c>
      <c r="AS30" s="4" t="s">
        <v>20</v>
      </c>
      <c r="AW30" s="1">
        <v>27</v>
      </c>
      <c r="AX30" s="86" t="s">
        <v>853</v>
      </c>
      <c r="AY30" s="4" t="s">
        <v>852</v>
      </c>
      <c r="AZ30" t="s">
        <v>184</v>
      </c>
    </row>
    <row r="31" spans="1:52" x14ac:dyDescent="0.2">
      <c r="A31" s="121" t="s">
        <v>47</v>
      </c>
      <c r="B31" s="7">
        <f>VLOOKUP(B30,$K$49:$O$53,2,FALSE)</f>
        <v>2</v>
      </c>
      <c r="C31" s="6"/>
      <c r="D31" s="6"/>
      <c r="E31" s="6"/>
      <c r="F31" s="6"/>
      <c r="G31" s="6"/>
      <c r="H31">
        <v>6</v>
      </c>
      <c r="I31">
        <v>30</v>
      </c>
      <c r="L31" s="14"/>
      <c r="O31" s="74" t="s">
        <v>746</v>
      </c>
      <c r="P31" s="1">
        <f>IF($B$2="Cruiser",1,2)</f>
        <v>1</v>
      </c>
      <c r="Q31" s="1">
        <v>4</v>
      </c>
      <c r="R31" s="1">
        <v>3</v>
      </c>
      <c r="S31" s="38" t="s">
        <v>113</v>
      </c>
      <c r="T31" s="13" t="s">
        <v>321</v>
      </c>
      <c r="V31" s="13" t="s">
        <v>44</v>
      </c>
      <c r="W31" s="1">
        <f>IF($B$2="Explorer",7,IF($B$4="Battleship",7,IF($B$4="Dreadnought",7,9)))</f>
        <v>9</v>
      </c>
      <c r="X31" s="1">
        <v>15</v>
      </c>
      <c r="Y31" s="30" t="s">
        <v>174</v>
      </c>
      <c r="Z31" s="1">
        <v>3</v>
      </c>
      <c r="AA31" s="4" t="s">
        <v>20</v>
      </c>
      <c r="AB31" s="13" t="s">
        <v>320</v>
      </c>
      <c r="AC31" s="13" t="s">
        <v>314</v>
      </c>
      <c r="AE31" s="1">
        <v>28</v>
      </c>
      <c r="AF31" s="4" t="s">
        <v>277</v>
      </c>
      <c r="AG31" s="4" t="s">
        <v>276</v>
      </c>
      <c r="AH31" s="4" t="s">
        <v>20</v>
      </c>
      <c r="AJ31" s="14" t="s">
        <v>568</v>
      </c>
      <c r="AK31" s="1"/>
      <c r="AL31" s="1"/>
      <c r="AM31" s="1"/>
      <c r="AN31" s="1"/>
      <c r="AO31" s="1"/>
      <c r="AP31" s="13" t="s">
        <v>113</v>
      </c>
      <c r="AQ31" s="1">
        <v>28</v>
      </c>
      <c r="AR31" s="86" t="s">
        <v>830</v>
      </c>
      <c r="AS31" s="4" t="s">
        <v>20</v>
      </c>
      <c r="AW31" s="1">
        <v>28</v>
      </c>
      <c r="AX31" s="86" t="s">
        <v>853</v>
      </c>
      <c r="AY31" s="4" t="s">
        <v>852</v>
      </c>
      <c r="AZ31" t="s">
        <v>184</v>
      </c>
    </row>
    <row r="32" spans="1:52" x14ac:dyDescent="0.2">
      <c r="A32" s="121" t="s">
        <v>261</v>
      </c>
      <c r="B32" s="7" t="str">
        <f>VLOOKUP(B30,$K$49:$O$53,3,FALSE)</f>
        <v>+2/+1/0/0/0</v>
      </c>
      <c r="C32" s="6"/>
      <c r="D32" s="6"/>
      <c r="E32" s="6"/>
      <c r="F32" s="6"/>
      <c r="G32" s="6"/>
      <c r="H32">
        <v>7</v>
      </c>
      <c r="I32">
        <v>35</v>
      </c>
      <c r="L32" s="14"/>
      <c r="O32" s="73" t="s">
        <v>742</v>
      </c>
      <c r="P32" s="79"/>
      <c r="Q32" s="79"/>
      <c r="R32" s="79"/>
      <c r="S32" s="79"/>
      <c r="T32" s="80"/>
      <c r="V32" s="13" t="s">
        <v>41</v>
      </c>
      <c r="W32" s="1">
        <f>IF($B$2="Explorer",10,IF($B$4="Battleship",10,IF($B$4="Dreadnought",10,12)))</f>
        <v>12</v>
      </c>
      <c r="X32" s="1">
        <v>17</v>
      </c>
      <c r="Y32" s="30" t="s">
        <v>316</v>
      </c>
      <c r="Z32" s="1">
        <v>4</v>
      </c>
      <c r="AA32" s="4" t="s">
        <v>28</v>
      </c>
      <c r="AB32" s="13" t="s">
        <v>318</v>
      </c>
      <c r="AC32" s="13" t="s">
        <v>314</v>
      </c>
      <c r="AE32" s="1">
        <v>29</v>
      </c>
      <c r="AF32" s="4" t="s">
        <v>277</v>
      </c>
      <c r="AG32" s="4" t="s">
        <v>276</v>
      </c>
      <c r="AH32" s="4" t="s">
        <v>20</v>
      </c>
      <c r="AI32" s="13" t="s">
        <v>55</v>
      </c>
      <c r="AJ32" s="14" t="s">
        <v>790</v>
      </c>
      <c r="AK32" s="1">
        <f>IF($B$2="Explorer",2,IF($B$4="Battleship",2,IF($B$4="Dreadnought",2,4)))</f>
        <v>4</v>
      </c>
      <c r="AL32" s="1">
        <v>12</v>
      </c>
      <c r="AM32" s="30" t="s">
        <v>174</v>
      </c>
      <c r="AN32" s="1">
        <v>2</v>
      </c>
      <c r="AO32" s="4" t="s">
        <v>53</v>
      </c>
      <c r="AP32" s="13" t="s">
        <v>113</v>
      </c>
      <c r="AQ32" s="1">
        <v>29</v>
      </c>
      <c r="AR32" s="86" t="s">
        <v>830</v>
      </c>
      <c r="AS32" s="4" t="s">
        <v>20</v>
      </c>
      <c r="AW32" s="1">
        <v>29</v>
      </c>
      <c r="AX32" s="86" t="s">
        <v>853</v>
      </c>
      <c r="AY32" s="4" t="s">
        <v>852</v>
      </c>
      <c r="AZ32" t="s">
        <v>184</v>
      </c>
    </row>
    <row r="33" spans="1:52" x14ac:dyDescent="0.2">
      <c r="A33" s="121" t="s">
        <v>65</v>
      </c>
      <c r="B33" s="7" t="str">
        <f>VLOOKUP(B30,$K$49:$O$53,4,FALSE)</f>
        <v>C</v>
      </c>
      <c r="C33" s="6"/>
      <c r="D33" s="6"/>
      <c r="E33" s="6"/>
      <c r="F33" s="6"/>
      <c r="G33" s="6"/>
      <c r="H33">
        <v>8</v>
      </c>
      <c r="I33">
        <v>40</v>
      </c>
      <c r="L33" s="14"/>
      <c r="O33" s="74" t="s">
        <v>747</v>
      </c>
      <c r="P33" s="1">
        <f>IF($B$2="Cruiser",2,3)</f>
        <v>2</v>
      </c>
      <c r="Q33" s="1">
        <v>5</v>
      </c>
      <c r="R33" s="1">
        <v>2</v>
      </c>
      <c r="T33" s="13" t="s">
        <v>321</v>
      </c>
      <c r="V33" s="13" t="s">
        <v>26</v>
      </c>
      <c r="W33" s="1">
        <f>IF($B$2="Explorer",12,IF($B$4="Battleship",12,IF($B$4="Dreadnought",12,14)))</f>
        <v>14</v>
      </c>
      <c r="X33" s="1">
        <v>17</v>
      </c>
      <c r="Y33" s="30" t="s">
        <v>316</v>
      </c>
      <c r="Z33" s="1">
        <v>5</v>
      </c>
      <c r="AA33" s="4" t="s">
        <v>0</v>
      </c>
      <c r="AB33" s="13" t="s">
        <v>315</v>
      </c>
      <c r="AC33" s="13" t="s">
        <v>314</v>
      </c>
      <c r="AE33" s="1">
        <v>30</v>
      </c>
      <c r="AF33" s="4" t="s">
        <v>277</v>
      </c>
      <c r="AG33" s="4" t="s">
        <v>276</v>
      </c>
      <c r="AH33" s="4" t="s">
        <v>20</v>
      </c>
      <c r="AI33" s="13" t="s">
        <v>55</v>
      </c>
      <c r="AJ33" s="14" t="s">
        <v>791</v>
      </c>
      <c r="AK33" s="1">
        <f>IF($B$2="Explorer",2,IF($B$4="Battleship",2,IF($B$4="Dreadnought",2,4)))</f>
        <v>4</v>
      </c>
      <c r="AL33" s="1">
        <v>12</v>
      </c>
      <c r="AM33" s="30" t="s">
        <v>174</v>
      </c>
      <c r="AN33" s="1">
        <v>2</v>
      </c>
      <c r="AO33" s="4" t="s">
        <v>184</v>
      </c>
      <c r="AP33" s="13" t="s">
        <v>113</v>
      </c>
      <c r="AQ33" s="1">
        <v>30</v>
      </c>
      <c r="AR33" s="86" t="s">
        <v>830</v>
      </c>
      <c r="AS33" s="4" t="s">
        <v>20</v>
      </c>
      <c r="AW33" s="1">
        <v>30</v>
      </c>
      <c r="AX33" s="86" t="s">
        <v>853</v>
      </c>
      <c r="AY33" s="4" t="s">
        <v>852</v>
      </c>
      <c r="AZ33" t="s">
        <v>184</v>
      </c>
    </row>
    <row r="34" spans="1:52" x14ac:dyDescent="0.2">
      <c r="A34" s="121" t="s">
        <v>60</v>
      </c>
      <c r="B34" s="7" t="str">
        <f>VLOOKUP(B30,$K$49:$O$53,5,FALSE)</f>
        <v>Scout cost 1</v>
      </c>
      <c r="C34" s="6"/>
      <c r="D34" s="6"/>
      <c r="E34" s="6"/>
      <c r="F34" s="6"/>
      <c r="G34" s="6"/>
      <c r="H34">
        <v>9</v>
      </c>
      <c r="I34">
        <v>45</v>
      </c>
      <c r="L34" s="14"/>
      <c r="O34" s="73" t="s">
        <v>743</v>
      </c>
      <c r="P34" s="79"/>
      <c r="Q34" s="79"/>
      <c r="R34" s="79"/>
      <c r="S34" s="79"/>
      <c r="T34" s="79"/>
      <c r="AE34" s="1">
        <v>31</v>
      </c>
      <c r="AF34" s="4" t="s">
        <v>277</v>
      </c>
      <c r="AG34" s="4" t="s">
        <v>276</v>
      </c>
      <c r="AH34" s="4" t="s">
        <v>20</v>
      </c>
      <c r="AI34" s="13" t="s">
        <v>55</v>
      </c>
      <c r="AJ34" s="14" t="s">
        <v>792</v>
      </c>
      <c r="AK34" s="1">
        <f>IF($B$2="Explorer",2,IF($B$4="Battleship",2,IF($B$4="Dreadnought",2,4)))</f>
        <v>4</v>
      </c>
      <c r="AL34" s="1">
        <v>12</v>
      </c>
      <c r="AM34" s="30" t="s">
        <v>174</v>
      </c>
      <c r="AN34" s="1">
        <v>2</v>
      </c>
      <c r="AO34" s="4" t="s">
        <v>39</v>
      </c>
      <c r="AP34" s="13" t="s">
        <v>113</v>
      </c>
      <c r="AQ34" s="1">
        <v>31</v>
      </c>
      <c r="AR34" s="86" t="s">
        <v>830</v>
      </c>
      <c r="AS34" s="4" t="s">
        <v>20</v>
      </c>
      <c r="AW34" s="1">
        <v>31</v>
      </c>
      <c r="AX34" s="86" t="s">
        <v>312</v>
      </c>
      <c r="AY34" s="4" t="s">
        <v>312</v>
      </c>
      <c r="AZ34" t="s">
        <v>184</v>
      </c>
    </row>
    <row r="35" spans="1:52" x14ac:dyDescent="0.2">
      <c r="A35" s="92"/>
      <c r="B35" s="6"/>
      <c r="C35" s="6"/>
      <c r="D35" s="6"/>
      <c r="E35" s="6"/>
      <c r="F35" s="6"/>
      <c r="G35" s="6"/>
      <c r="H35">
        <v>10</v>
      </c>
      <c r="I35">
        <v>50</v>
      </c>
      <c r="L35" s="14"/>
      <c r="O35" s="68"/>
      <c r="P35" s="1">
        <f>IF($B$2="Cruiser",3,4)</f>
        <v>3</v>
      </c>
      <c r="Q35" s="1">
        <v>6</v>
      </c>
      <c r="R35" s="1">
        <v>3</v>
      </c>
      <c r="T35" s="13" t="s">
        <v>321</v>
      </c>
      <c r="AE35" s="1">
        <v>32</v>
      </c>
      <c r="AF35" s="4" t="s">
        <v>277</v>
      </c>
      <c r="AG35" s="4" t="s">
        <v>276</v>
      </c>
      <c r="AH35" s="4" t="s">
        <v>20</v>
      </c>
      <c r="AI35" s="13" t="s">
        <v>55</v>
      </c>
      <c r="AJ35" s="14" t="s">
        <v>793</v>
      </c>
      <c r="AK35" s="1">
        <f>IF($B$2="Explorer",2,IF($B$4="Battleship",2,IF($B$4="Dreadnought",2,4)))</f>
        <v>4</v>
      </c>
      <c r="AL35" s="1">
        <v>12</v>
      </c>
      <c r="AM35" s="30" t="s">
        <v>174</v>
      </c>
      <c r="AN35" s="1">
        <v>2</v>
      </c>
      <c r="AO35" s="4" t="s">
        <v>179</v>
      </c>
      <c r="AP35" s="13" t="s">
        <v>113</v>
      </c>
      <c r="AQ35" s="1">
        <v>32</v>
      </c>
      <c r="AR35" s="86" t="s">
        <v>830</v>
      </c>
      <c r="AS35" s="4" t="s">
        <v>20</v>
      </c>
      <c r="AW35" s="1">
        <v>32</v>
      </c>
      <c r="AX35" s="86" t="s">
        <v>312</v>
      </c>
      <c r="AY35" s="4" t="s">
        <v>312</v>
      </c>
      <c r="AZ35" t="s">
        <v>184</v>
      </c>
    </row>
    <row r="36" spans="1:52" x14ac:dyDescent="0.2">
      <c r="A36" s="117" t="s">
        <v>288</v>
      </c>
      <c r="B36" s="117"/>
      <c r="C36" s="117"/>
      <c r="D36" s="117"/>
      <c r="E36" s="5"/>
      <c r="F36" s="5"/>
      <c r="G36" s="5"/>
      <c r="H36">
        <v>11</v>
      </c>
      <c r="L36" s="14"/>
      <c r="O36" s="73" t="s">
        <v>855</v>
      </c>
      <c r="P36" s="111">
        <v>1</v>
      </c>
      <c r="Q36" s="111">
        <v>2</v>
      </c>
      <c r="R36" s="111">
        <v>0</v>
      </c>
      <c r="S36" s="112"/>
      <c r="T36" s="113" t="s">
        <v>321</v>
      </c>
      <c r="AE36" s="1">
        <v>33</v>
      </c>
      <c r="AF36" s="4" t="s">
        <v>277</v>
      </c>
      <c r="AG36" s="4" t="s">
        <v>276</v>
      </c>
      <c r="AH36" s="4" t="s">
        <v>20</v>
      </c>
      <c r="AJ36" s="14" t="s">
        <v>575</v>
      </c>
      <c r="AK36" s="1"/>
      <c r="AL36" s="1"/>
      <c r="AM36" s="1"/>
      <c r="AN36" s="1"/>
      <c r="AO36" s="1"/>
      <c r="AP36" s="13" t="s">
        <v>113</v>
      </c>
      <c r="AQ36" s="1">
        <v>33</v>
      </c>
      <c r="AR36" s="86" t="s">
        <v>830</v>
      </c>
      <c r="AS36" s="4" t="s">
        <v>20</v>
      </c>
      <c r="AW36" s="1">
        <v>33</v>
      </c>
      <c r="AX36" s="86" t="s">
        <v>312</v>
      </c>
      <c r="AY36" s="4" t="s">
        <v>312</v>
      </c>
      <c r="AZ36" t="s">
        <v>184</v>
      </c>
    </row>
    <row r="37" spans="1:52" x14ac:dyDescent="0.2">
      <c r="A37" s="92"/>
      <c r="B37" s="6"/>
      <c r="C37" s="6"/>
      <c r="D37" s="6"/>
      <c r="E37" s="6"/>
      <c r="F37" s="6"/>
      <c r="G37" s="6"/>
      <c r="H37">
        <v>12</v>
      </c>
      <c r="L37" s="14"/>
      <c r="AE37" s="1">
        <v>34</v>
      </c>
      <c r="AF37" s="4" t="s">
        <v>277</v>
      </c>
      <c r="AG37" s="4" t="s">
        <v>276</v>
      </c>
      <c r="AH37" s="4" t="s">
        <v>20</v>
      </c>
      <c r="AI37" s="36" t="s">
        <v>275</v>
      </c>
      <c r="AJ37" s="14" t="s">
        <v>794</v>
      </c>
      <c r="AK37" s="1">
        <f>IF($B$2="Explorer",3,IF($B$4="Battleship",3,IF($B$4="Dreadnought",3,5)))</f>
        <v>5</v>
      </c>
      <c r="AL37" s="1">
        <v>13</v>
      </c>
      <c r="AM37" s="1">
        <v>1</v>
      </c>
      <c r="AN37" s="1">
        <v>2</v>
      </c>
      <c r="AO37" s="4" t="s">
        <v>53</v>
      </c>
      <c r="AP37" s="13" t="s">
        <v>113</v>
      </c>
      <c r="AQ37" s="1">
        <v>34</v>
      </c>
      <c r="AR37" s="86" t="s">
        <v>830</v>
      </c>
      <c r="AS37" s="4" t="s">
        <v>20</v>
      </c>
      <c r="AW37" s="1">
        <v>34</v>
      </c>
      <c r="AX37" s="86" t="s">
        <v>312</v>
      </c>
      <c r="AY37" s="4" t="s">
        <v>312</v>
      </c>
      <c r="AZ37" t="s">
        <v>184</v>
      </c>
    </row>
    <row r="38" spans="1:52" x14ac:dyDescent="0.2">
      <c r="A38" s="121" t="s">
        <v>154</v>
      </c>
      <c r="B38" s="82" t="s">
        <v>753</v>
      </c>
      <c r="C38" s="92" t="s">
        <v>152</v>
      </c>
      <c r="D38" s="49">
        <v>1</v>
      </c>
      <c r="E38" s="6"/>
      <c r="F38" s="6"/>
      <c r="G38" s="6"/>
      <c r="H38">
        <v>13</v>
      </c>
      <c r="N38" t="s">
        <v>875</v>
      </c>
      <c r="O38" s="31" t="s">
        <v>856</v>
      </c>
      <c r="P38" s="17"/>
      <c r="Q38" s="17"/>
      <c r="R38" s="17"/>
      <c r="S38" s="79"/>
      <c r="T38" s="79"/>
      <c r="AE38" s="17">
        <v>35</v>
      </c>
      <c r="AF38" s="2" t="s">
        <v>223</v>
      </c>
      <c r="AG38" s="2" t="s">
        <v>222</v>
      </c>
      <c r="AH38" s="2" t="s">
        <v>20</v>
      </c>
      <c r="AI38" s="36" t="s">
        <v>275</v>
      </c>
      <c r="AJ38" s="14" t="s">
        <v>795</v>
      </c>
      <c r="AK38" s="1">
        <f>IF($B$2="Explorer",3,IF($B$4="Battleship",3,IF($B$4="Dreadnought",3,5)))</f>
        <v>5</v>
      </c>
      <c r="AL38" s="1">
        <v>13</v>
      </c>
      <c r="AM38" s="1">
        <v>1</v>
      </c>
      <c r="AN38" s="1">
        <v>2</v>
      </c>
      <c r="AO38" s="4" t="s">
        <v>184</v>
      </c>
      <c r="AP38" s="13" t="s">
        <v>113</v>
      </c>
      <c r="AQ38" s="17">
        <v>35</v>
      </c>
      <c r="AR38" s="2" t="s">
        <v>831</v>
      </c>
      <c r="AS38" s="2" t="s">
        <v>20</v>
      </c>
      <c r="AW38" s="17">
        <v>35</v>
      </c>
      <c r="AX38" s="86" t="s">
        <v>312</v>
      </c>
      <c r="AY38" s="4" t="s">
        <v>312</v>
      </c>
      <c r="AZ38" t="s">
        <v>184</v>
      </c>
    </row>
    <row r="39" spans="1:52" x14ac:dyDescent="0.2">
      <c r="A39" s="121" t="s">
        <v>79</v>
      </c>
      <c r="B39" s="7">
        <f>IF(D38&gt;0,VLOOKUP(B38,$K$56:$P$65,2,FALSE)*D38,VLOOKUP(B38,$K$56:$P$65,2,FALSE))</f>
        <v>5</v>
      </c>
      <c r="C39" s="33"/>
      <c r="D39" s="15"/>
      <c r="E39" s="6"/>
      <c r="F39" s="6"/>
      <c r="G39" s="6"/>
      <c r="H39">
        <v>14</v>
      </c>
      <c r="K39" s="26" t="s">
        <v>305</v>
      </c>
      <c r="N39" t="s">
        <v>861</v>
      </c>
      <c r="O39" s="91" t="s">
        <v>859</v>
      </c>
      <c r="P39" s="1">
        <f>IF($B$2="Cruiser",1,2)</f>
        <v>1</v>
      </c>
      <c r="Q39" s="1">
        <v>1</v>
      </c>
      <c r="R39" s="1">
        <v>3</v>
      </c>
      <c r="T39" s="13" t="s">
        <v>321</v>
      </c>
      <c r="Y39" s="26" t="s">
        <v>303</v>
      </c>
      <c r="AE39" s="1">
        <v>36</v>
      </c>
      <c r="AF39" s="4" t="s">
        <v>223</v>
      </c>
      <c r="AG39" s="4" t="s">
        <v>222</v>
      </c>
      <c r="AH39" s="4" t="s">
        <v>20</v>
      </c>
      <c r="AI39" s="36" t="s">
        <v>275</v>
      </c>
      <c r="AJ39" s="14" t="s">
        <v>796</v>
      </c>
      <c r="AK39" s="1">
        <f>IF($B$2="Explorer",3,IF($B$4="Battleship",3,IF($B$4="Dreadnought",3,5)))</f>
        <v>5</v>
      </c>
      <c r="AL39" s="1">
        <v>13</v>
      </c>
      <c r="AM39" s="1">
        <v>1</v>
      </c>
      <c r="AN39" s="1">
        <v>2</v>
      </c>
      <c r="AO39" s="4" t="s">
        <v>39</v>
      </c>
      <c r="AP39" s="13" t="s">
        <v>113</v>
      </c>
      <c r="AQ39" s="1">
        <v>36</v>
      </c>
      <c r="AR39" s="86" t="s">
        <v>831</v>
      </c>
      <c r="AS39" s="4" t="s">
        <v>20</v>
      </c>
      <c r="AW39" s="1">
        <v>36</v>
      </c>
      <c r="AX39" s="86" t="s">
        <v>312</v>
      </c>
      <c r="AY39" s="4" t="s">
        <v>312</v>
      </c>
      <c r="AZ39" t="s">
        <v>184</v>
      </c>
    </row>
    <row r="40" spans="1:52" x14ac:dyDescent="0.2">
      <c r="A40" s="121" t="s">
        <v>938</v>
      </c>
      <c r="B40" s="7" t="str">
        <f>VLOOKUP(B38,$K$56:$P$65,3,FALSE)</f>
        <v>.5c</v>
      </c>
      <c r="C40" s="6"/>
      <c r="D40" s="15"/>
      <c r="E40" s="6"/>
      <c r="F40" s="6"/>
      <c r="G40" s="6"/>
      <c r="H40">
        <v>15</v>
      </c>
      <c r="K40" t="s">
        <v>154</v>
      </c>
      <c r="L40" s="14" t="s">
        <v>47</v>
      </c>
      <c r="M40" t="s">
        <v>65</v>
      </c>
      <c r="N40" s="36" t="s">
        <v>862</v>
      </c>
      <c r="O40" s="91" t="s">
        <v>860</v>
      </c>
      <c r="P40" s="1">
        <f>IF($B$2="Cruiser",1,2)</f>
        <v>1</v>
      </c>
      <c r="Q40" s="1">
        <v>2</v>
      </c>
      <c r="R40" s="1">
        <v>3</v>
      </c>
      <c r="T40" s="13" t="s">
        <v>321</v>
      </c>
      <c r="Y40" t="s">
        <v>154</v>
      </c>
      <c r="Z40" t="s">
        <v>47</v>
      </c>
      <c r="AA40" t="s">
        <v>297</v>
      </c>
      <c r="AB40" t="s">
        <v>215</v>
      </c>
      <c r="AC40" t="s">
        <v>296</v>
      </c>
      <c r="AE40" s="1">
        <v>37</v>
      </c>
      <c r="AF40" s="4" t="s">
        <v>223</v>
      </c>
      <c r="AG40" s="4" t="s">
        <v>222</v>
      </c>
      <c r="AH40" s="4" t="s">
        <v>20</v>
      </c>
      <c r="AJ40" s="14" t="s">
        <v>573</v>
      </c>
      <c r="AK40" s="1"/>
      <c r="AL40" s="1"/>
      <c r="AM40" s="1"/>
      <c r="AN40" s="1"/>
      <c r="AO40" s="1"/>
      <c r="AP40" s="13" t="s">
        <v>113</v>
      </c>
      <c r="AQ40" s="1">
        <v>37</v>
      </c>
      <c r="AR40" s="86" t="s">
        <v>831</v>
      </c>
      <c r="AS40" s="4" t="s">
        <v>20</v>
      </c>
      <c r="AW40" s="1">
        <v>37</v>
      </c>
      <c r="AX40" s="86" t="s">
        <v>312</v>
      </c>
      <c r="AY40" s="4" t="s">
        <v>312</v>
      </c>
      <c r="AZ40" t="s">
        <v>184</v>
      </c>
    </row>
    <row r="41" spans="1:52" x14ac:dyDescent="0.2">
      <c r="A41" s="121" t="s">
        <v>215</v>
      </c>
      <c r="B41" s="7">
        <f>IF(D38&gt;=2,VLOOKUP(B38,$K$56:$P$65,4,FALSE)+D38-1,VLOOKUP(B38,$K$56:$P$65,4,FALSE))</f>
        <v>8</v>
      </c>
      <c r="C41" s="9" t="str">
        <f>IF(B41&lt;B5,"Impulse System Too Small for Size","Impulse System Meets Max. Ship Size Restriction")</f>
        <v>Impulse System Meets Max. Ship Size Restriction</v>
      </c>
      <c r="D41" s="7"/>
      <c r="E41" s="6"/>
      <c r="F41" s="6"/>
      <c r="G41" s="6"/>
      <c r="H41">
        <v>16</v>
      </c>
      <c r="K41" t="s">
        <v>258</v>
      </c>
      <c r="L41" s="16" t="s">
        <v>208</v>
      </c>
      <c r="M41" s="1" t="s">
        <v>294</v>
      </c>
      <c r="N41" s="36"/>
      <c r="R41" s="26" t="s">
        <v>304</v>
      </c>
      <c r="Y41" t="s">
        <v>10</v>
      </c>
      <c r="Z41" s="1">
        <v>0</v>
      </c>
      <c r="AA41" s="1">
        <v>0</v>
      </c>
      <c r="AB41" s="1">
        <v>0</v>
      </c>
      <c r="AE41" s="1">
        <v>38</v>
      </c>
      <c r="AF41" s="4" t="s">
        <v>223</v>
      </c>
      <c r="AG41" s="4" t="s">
        <v>222</v>
      </c>
      <c r="AH41" s="4" t="s">
        <v>20</v>
      </c>
      <c r="AI41" s="13" t="s">
        <v>176</v>
      </c>
      <c r="AJ41" s="14" t="s">
        <v>797</v>
      </c>
      <c r="AK41" s="1">
        <f>IF($B$2="Explorer",4,IF($B$4="Battleship",4,IF($B$4="Dreadnought",4,6)))</f>
        <v>6</v>
      </c>
      <c r="AL41" s="1">
        <v>13</v>
      </c>
      <c r="AM41" s="30" t="s">
        <v>174</v>
      </c>
      <c r="AN41" s="1">
        <v>3</v>
      </c>
      <c r="AO41" s="4" t="s">
        <v>53</v>
      </c>
      <c r="AP41" s="13" t="s">
        <v>113</v>
      </c>
      <c r="AQ41" s="1">
        <v>38</v>
      </c>
      <c r="AR41" s="86" t="s">
        <v>831</v>
      </c>
      <c r="AS41" s="4" t="s">
        <v>20</v>
      </c>
      <c r="AW41" s="1">
        <v>38</v>
      </c>
      <c r="AX41" s="86" t="s">
        <v>312</v>
      </c>
      <c r="AY41" s="4" t="s">
        <v>312</v>
      </c>
      <c r="AZ41" t="s">
        <v>184</v>
      </c>
    </row>
    <row r="42" spans="1:52" x14ac:dyDescent="0.2">
      <c r="A42" s="121" t="s">
        <v>65</v>
      </c>
      <c r="B42" s="7" t="str">
        <f>VLOOKUP(B38,$K$56:$P$65,5,FALSE)</f>
        <v>D</v>
      </c>
      <c r="C42" s="6"/>
      <c r="D42" s="15"/>
      <c r="E42" s="6"/>
      <c r="F42" s="6"/>
      <c r="G42" s="6"/>
      <c r="H42">
        <v>17</v>
      </c>
      <c r="K42" t="s">
        <v>871</v>
      </c>
      <c r="L42" s="1">
        <f>ROUNDDOWN(1+(B5/2),0)</f>
        <v>3</v>
      </c>
      <c r="M42" s="1" t="s">
        <v>292</v>
      </c>
      <c r="N42" s="13"/>
      <c r="R42" t="s">
        <v>301</v>
      </c>
      <c r="S42" t="s">
        <v>300</v>
      </c>
      <c r="T42" t="s">
        <v>139</v>
      </c>
      <c r="U42" t="s">
        <v>299</v>
      </c>
      <c r="V42" t="s">
        <v>298</v>
      </c>
      <c r="Y42" t="s">
        <v>890</v>
      </c>
      <c r="Z42" s="1">
        <f>IF($B$2="Scout",($B$5-1),IF($B$2="Frigate",($B$5-1),$B$5))</f>
        <v>4</v>
      </c>
      <c r="AA42" s="1">
        <v>16</v>
      </c>
      <c r="AB42" s="1">
        <v>5</v>
      </c>
      <c r="AC42" s="13" t="s">
        <v>113</v>
      </c>
      <c r="AD42" s="13" t="s">
        <v>267</v>
      </c>
      <c r="AE42" s="1">
        <v>39</v>
      </c>
      <c r="AF42" s="4" t="s">
        <v>223</v>
      </c>
      <c r="AG42" s="4" t="s">
        <v>222</v>
      </c>
      <c r="AH42" s="4" t="s">
        <v>20</v>
      </c>
      <c r="AI42" s="13" t="s">
        <v>176</v>
      </c>
      <c r="AJ42" s="14" t="s">
        <v>798</v>
      </c>
      <c r="AK42" s="1">
        <f>IF($B$2="Explorer",4,IF($B$4="Battleship",4,IF($B$4="Dreadnought",4,6)))</f>
        <v>6</v>
      </c>
      <c r="AL42" s="1">
        <v>13</v>
      </c>
      <c r="AM42" s="30" t="s">
        <v>174</v>
      </c>
      <c r="AN42" s="1">
        <v>3</v>
      </c>
      <c r="AO42" s="4" t="s">
        <v>184</v>
      </c>
      <c r="AP42" s="13" t="s">
        <v>113</v>
      </c>
      <c r="AQ42" s="1">
        <v>39</v>
      </c>
      <c r="AR42" s="86" t="s">
        <v>831</v>
      </c>
      <c r="AS42" s="4" t="s">
        <v>20</v>
      </c>
      <c r="AW42" s="1">
        <v>39</v>
      </c>
      <c r="AX42" s="86" t="s">
        <v>312</v>
      </c>
      <c r="AY42" s="4" t="s">
        <v>312</v>
      </c>
      <c r="AZ42" t="s">
        <v>184</v>
      </c>
    </row>
    <row r="43" spans="1:52" x14ac:dyDescent="0.2">
      <c r="A43" s="121" t="s">
        <v>60</v>
      </c>
      <c r="B43" s="7" t="str">
        <f>VLOOKUP(B38,$K$56:$P$65,6,FALSE)</f>
        <v>Destroyers &amp; Escorts pay -1 (min. 1)</v>
      </c>
      <c r="C43" s="6"/>
      <c r="D43" s="15"/>
      <c r="E43" s="6"/>
      <c r="F43" s="6"/>
      <c r="G43" s="6"/>
      <c r="H43">
        <v>18</v>
      </c>
      <c r="K43" t="s">
        <v>874</v>
      </c>
      <c r="L43" s="1">
        <f>ROUNDDOWN(2+(B5/2),0)</f>
        <v>4</v>
      </c>
      <c r="M43" s="1" t="s">
        <v>287</v>
      </c>
      <c r="N43" s="13"/>
      <c r="R43" t="s">
        <v>293</v>
      </c>
      <c r="S43" s="1"/>
      <c r="T43" s="1"/>
      <c r="U43" s="1"/>
      <c r="V43" s="1"/>
      <c r="Y43" t="s">
        <v>891</v>
      </c>
      <c r="Z43" s="1">
        <f>IF($B$2="Scout",($B$5),IF($B$2="Frigate",($B$5),$B$5+1))</f>
        <v>5</v>
      </c>
      <c r="AA43" s="1">
        <v>18</v>
      </c>
      <c r="AB43" s="1">
        <v>8</v>
      </c>
      <c r="AC43" s="13" t="s">
        <v>113</v>
      </c>
      <c r="AD43" t="s">
        <v>267</v>
      </c>
      <c r="AE43" s="1">
        <v>40</v>
      </c>
      <c r="AF43" s="4" t="s">
        <v>223</v>
      </c>
      <c r="AG43" s="4" t="s">
        <v>222</v>
      </c>
      <c r="AH43" s="4" t="s">
        <v>20</v>
      </c>
      <c r="AI43" s="13" t="s">
        <v>176</v>
      </c>
      <c r="AJ43" s="14" t="s">
        <v>799</v>
      </c>
      <c r="AK43" s="1">
        <f>IF($B$2="Explorer",4,IF($B$4="Battleship",4,IF($B$4="Dreadnought",4,6)))</f>
        <v>6</v>
      </c>
      <c r="AL43" s="1">
        <v>13</v>
      </c>
      <c r="AM43" s="30" t="s">
        <v>174</v>
      </c>
      <c r="AN43" s="1">
        <v>3</v>
      </c>
      <c r="AO43" s="4" t="s">
        <v>39</v>
      </c>
      <c r="AP43" s="13" t="s">
        <v>113</v>
      </c>
      <c r="AQ43" s="1">
        <v>40</v>
      </c>
      <c r="AR43" s="86" t="s">
        <v>831</v>
      </c>
      <c r="AS43" s="4" t="s">
        <v>20</v>
      </c>
      <c r="AW43" s="1">
        <v>40</v>
      </c>
      <c r="AX43" s="86" t="s">
        <v>312</v>
      </c>
      <c r="AY43" s="4" t="s">
        <v>312</v>
      </c>
      <c r="AZ43" t="s">
        <v>184</v>
      </c>
    </row>
    <row r="44" spans="1:52" x14ac:dyDescent="0.2">
      <c r="A44" s="92"/>
      <c r="B44" s="6"/>
      <c r="C44" s="6"/>
      <c r="D44" s="15"/>
      <c r="E44" s="6"/>
      <c r="F44" s="6"/>
      <c r="G44" s="6"/>
      <c r="H44">
        <v>19</v>
      </c>
      <c r="I44" s="25" t="s">
        <v>282</v>
      </c>
      <c r="K44" t="s">
        <v>872</v>
      </c>
      <c r="L44" s="1">
        <f>ROUNDDOWN(3+(B5/2),0)</f>
        <v>5</v>
      </c>
      <c r="M44" s="1" t="s">
        <v>281</v>
      </c>
      <c r="N44" s="13"/>
      <c r="R44" t="s">
        <v>291</v>
      </c>
      <c r="S44" s="1" t="s">
        <v>290</v>
      </c>
      <c r="T44" s="1">
        <v>9</v>
      </c>
      <c r="U44" s="1" t="s">
        <v>121</v>
      </c>
      <c r="V44" s="16" t="s">
        <v>284</v>
      </c>
      <c r="Y44" t="s">
        <v>892</v>
      </c>
      <c r="Z44" s="1">
        <f>IF($B$2="Scout",($B$5+1),IF($B$2="Frigate",($B$5+1),$B$5+2))</f>
        <v>6</v>
      </c>
      <c r="AA44" s="1">
        <v>20</v>
      </c>
      <c r="AB44" s="1">
        <v>10</v>
      </c>
      <c r="AC44" s="13" t="s">
        <v>278</v>
      </c>
      <c r="AD44" t="s">
        <v>267</v>
      </c>
      <c r="AE44" s="1">
        <v>41</v>
      </c>
      <c r="AF44" s="4" t="s">
        <v>223</v>
      </c>
      <c r="AG44" s="4" t="s">
        <v>222</v>
      </c>
      <c r="AH44" s="4" t="s">
        <v>20</v>
      </c>
      <c r="AJ44" s="14" t="s">
        <v>572</v>
      </c>
      <c r="AK44" s="1"/>
      <c r="AL44" s="1"/>
      <c r="AM44" s="1"/>
      <c r="AN44" s="1"/>
      <c r="AO44" s="1"/>
      <c r="AP44" s="13" t="s">
        <v>113</v>
      </c>
      <c r="AQ44" s="1">
        <v>41</v>
      </c>
      <c r="AR44" s="86" t="s">
        <v>831</v>
      </c>
      <c r="AS44" s="4" t="s">
        <v>20</v>
      </c>
      <c r="AW44" s="1">
        <v>41</v>
      </c>
      <c r="AX44" s="86" t="s">
        <v>312</v>
      </c>
      <c r="AY44" s="4" t="s">
        <v>312</v>
      </c>
      <c r="AZ44" t="s">
        <v>184</v>
      </c>
    </row>
    <row r="45" spans="1:52" x14ac:dyDescent="0.2">
      <c r="A45" s="117" t="s">
        <v>241</v>
      </c>
      <c r="B45" s="117"/>
      <c r="C45" s="117"/>
      <c r="D45" s="117"/>
      <c r="E45" s="5"/>
      <c r="F45" s="5"/>
      <c r="G45" s="5"/>
      <c r="H45">
        <v>20</v>
      </c>
      <c r="I45">
        <v>0</v>
      </c>
      <c r="K45" t="s">
        <v>873</v>
      </c>
      <c r="L45" s="1">
        <f>ROUNDDOWN(4+(B5/2),0)</f>
        <v>6</v>
      </c>
      <c r="M45" s="1" t="s">
        <v>273</v>
      </c>
      <c r="N45" s="13"/>
      <c r="R45" t="s">
        <v>286</v>
      </c>
      <c r="S45" s="1" t="s">
        <v>285</v>
      </c>
      <c r="T45" s="1">
        <v>7</v>
      </c>
      <c r="U45" s="1" t="s">
        <v>121</v>
      </c>
      <c r="V45" s="16" t="s">
        <v>284</v>
      </c>
      <c r="Y45" t="s">
        <v>46</v>
      </c>
      <c r="Z45" s="1">
        <f>IF($B$2="Scout",($B$5+3),IF($B$2="Frigate",($B$5+3),$B$5+4))</f>
        <v>8</v>
      </c>
      <c r="AA45" s="1">
        <v>22</v>
      </c>
      <c r="AB45" s="1">
        <v>8</v>
      </c>
      <c r="AC45" s="13" t="s">
        <v>270</v>
      </c>
      <c r="AD45" t="s">
        <v>267</v>
      </c>
      <c r="AE45" s="1">
        <v>42</v>
      </c>
      <c r="AF45" s="4" t="s">
        <v>223</v>
      </c>
      <c r="AG45" s="4" t="s">
        <v>222</v>
      </c>
      <c r="AH45" s="4" t="s">
        <v>20</v>
      </c>
      <c r="AI45" s="34" t="s">
        <v>250</v>
      </c>
      <c r="AJ45" s="35" t="s">
        <v>800</v>
      </c>
      <c r="AK45" s="1">
        <f t="shared" ref="AK45:AK50" si="3">IF($B$2="Explorer",1,IF($B$4="Battleship",1,IF($B$4="Dreadnought",1,2)))</f>
        <v>2</v>
      </c>
      <c r="AL45" s="1">
        <v>10</v>
      </c>
      <c r="AM45" s="1">
        <v>0</v>
      </c>
      <c r="AN45" s="1">
        <v>0</v>
      </c>
      <c r="AO45" s="16" t="s">
        <v>184</v>
      </c>
      <c r="AP45" s="13" t="s">
        <v>113</v>
      </c>
      <c r="AQ45" s="1">
        <v>42</v>
      </c>
      <c r="AR45" s="86" t="s">
        <v>831</v>
      </c>
      <c r="AS45" s="4" t="s">
        <v>20</v>
      </c>
      <c r="AW45" s="1">
        <v>42</v>
      </c>
      <c r="AX45" s="86" t="s">
        <v>312</v>
      </c>
      <c r="AY45" s="4" t="s">
        <v>312</v>
      </c>
      <c r="AZ45" t="s">
        <v>184</v>
      </c>
    </row>
    <row r="46" spans="1:52" x14ac:dyDescent="0.2">
      <c r="A46" s="121" t="s">
        <v>154</v>
      </c>
      <c r="B46" s="81" t="s">
        <v>760</v>
      </c>
      <c r="C46" s="92" t="s">
        <v>152</v>
      </c>
      <c r="D46" s="49">
        <v>1</v>
      </c>
      <c r="E46" s="6"/>
      <c r="F46" s="6"/>
      <c r="G46" s="6"/>
      <c r="H46">
        <v>21</v>
      </c>
      <c r="I46">
        <f>IF(($B$8-5)&gt;=5,5,"Min. 5 Space Needed")</f>
        <v>5</v>
      </c>
      <c r="R46" t="s">
        <v>280</v>
      </c>
      <c r="S46" s="1" t="s">
        <v>279</v>
      </c>
      <c r="T46" s="1">
        <v>2</v>
      </c>
      <c r="U46" s="1">
        <v>4</v>
      </c>
      <c r="V46" s="16" t="s">
        <v>69</v>
      </c>
      <c r="Y46" t="s">
        <v>44</v>
      </c>
      <c r="Z46" s="1">
        <f>IF($B$2="Scout",($B$5+5),IF($B$2="Frigate",($B$5+5),$B$5+6))</f>
        <v>10</v>
      </c>
      <c r="AA46" s="1">
        <v>24</v>
      </c>
      <c r="AB46" s="1">
        <v>10</v>
      </c>
      <c r="AC46" s="13" t="s">
        <v>268</v>
      </c>
      <c r="AD46" t="s">
        <v>267</v>
      </c>
      <c r="AE46" s="1">
        <v>43</v>
      </c>
      <c r="AF46" s="4" t="s">
        <v>223</v>
      </c>
      <c r="AG46" s="4" t="s">
        <v>222</v>
      </c>
      <c r="AH46" s="4" t="s">
        <v>20</v>
      </c>
      <c r="AI46" s="34" t="s">
        <v>243</v>
      </c>
      <c r="AJ46" s="14" t="s">
        <v>801</v>
      </c>
      <c r="AK46" s="1">
        <f t="shared" si="3"/>
        <v>2</v>
      </c>
      <c r="AL46" s="1">
        <v>10</v>
      </c>
      <c r="AM46" s="30" t="s">
        <v>208</v>
      </c>
      <c r="AN46" s="1">
        <v>1</v>
      </c>
      <c r="AO46" s="16" t="s">
        <v>39</v>
      </c>
      <c r="AP46" s="13" t="s">
        <v>113</v>
      </c>
      <c r="AQ46" s="1">
        <v>43</v>
      </c>
      <c r="AR46" s="86" t="s">
        <v>831</v>
      </c>
      <c r="AS46" s="4" t="s">
        <v>20</v>
      </c>
      <c r="AW46" s="1">
        <v>43</v>
      </c>
      <c r="AX46" s="86" t="s">
        <v>312</v>
      </c>
      <c r="AY46" s="4" t="s">
        <v>312</v>
      </c>
      <c r="AZ46" t="s">
        <v>184</v>
      </c>
    </row>
    <row r="47" spans="1:52" x14ac:dyDescent="0.2">
      <c r="A47" s="121" t="s">
        <v>47</v>
      </c>
      <c r="B47" s="7">
        <f>IF(D46&gt;1,VLOOKUP(B46,$K$80:$P$105,2,FALSE)*D46,VLOOKUP(B46,$K$80:$P$105,2,FALSE))</f>
        <v>6</v>
      </c>
      <c r="C47" s="33"/>
      <c r="D47" s="15"/>
      <c r="E47" s="6"/>
      <c r="F47" s="6"/>
      <c r="G47" s="6"/>
      <c r="H47">
        <v>22</v>
      </c>
      <c r="I47">
        <f>IF(($B$8-10)&gt;=5,10,"Min. 5 Space Needed")</f>
        <v>10</v>
      </c>
      <c r="K47" s="26" t="s">
        <v>265</v>
      </c>
      <c r="R47" t="s">
        <v>272</v>
      </c>
      <c r="S47" s="1" t="s">
        <v>271</v>
      </c>
      <c r="T47" s="1">
        <v>1</v>
      </c>
      <c r="U47" s="1">
        <v>2</v>
      </c>
      <c r="V47" s="16" t="s">
        <v>69</v>
      </c>
      <c r="AE47" s="1">
        <v>44</v>
      </c>
      <c r="AF47" s="4" t="s">
        <v>223</v>
      </c>
      <c r="AG47" s="4" t="s">
        <v>222</v>
      </c>
      <c r="AH47" s="4" t="s">
        <v>20</v>
      </c>
      <c r="AI47" s="34" t="s">
        <v>235</v>
      </c>
      <c r="AJ47" s="14" t="s">
        <v>802</v>
      </c>
      <c r="AK47" s="1">
        <f t="shared" si="3"/>
        <v>2</v>
      </c>
      <c r="AL47" s="1">
        <v>11</v>
      </c>
      <c r="AM47" s="30" t="s">
        <v>208</v>
      </c>
      <c r="AN47" s="1">
        <v>1</v>
      </c>
      <c r="AO47" s="16" t="s">
        <v>179</v>
      </c>
      <c r="AP47" s="13" t="s">
        <v>113</v>
      </c>
      <c r="AQ47" s="1">
        <v>44</v>
      </c>
      <c r="AR47" s="86" t="s">
        <v>831</v>
      </c>
      <c r="AS47" s="4" t="s">
        <v>20</v>
      </c>
      <c r="AW47" s="1">
        <v>44</v>
      </c>
      <c r="AX47" s="86" t="s">
        <v>312</v>
      </c>
      <c r="AY47" s="4" t="s">
        <v>312</v>
      </c>
      <c r="AZ47" t="s">
        <v>184</v>
      </c>
    </row>
    <row r="48" spans="1:52" x14ac:dyDescent="0.2">
      <c r="A48" s="121" t="s">
        <v>938</v>
      </c>
      <c r="B48" s="7" t="str">
        <f>VLOOKUP(B46,$K$80:$P$105,3,FALSE)</f>
        <v>5/6/7</v>
      </c>
      <c r="C48" s="6"/>
      <c r="D48" s="15"/>
      <c r="E48" s="6"/>
      <c r="F48" s="6"/>
      <c r="G48" s="6"/>
      <c r="H48">
        <v>23</v>
      </c>
      <c r="I48">
        <f>IF(($B$8-15)&gt;=5,15,"Min. 5 Space Needed")</f>
        <v>15</v>
      </c>
      <c r="K48" t="s">
        <v>154</v>
      </c>
      <c r="L48" t="s">
        <v>47</v>
      </c>
      <c r="M48" t="s">
        <v>261</v>
      </c>
      <c r="N48" t="s">
        <v>65</v>
      </c>
      <c r="O48" t="s">
        <v>60</v>
      </c>
      <c r="R48" t="s">
        <v>269</v>
      </c>
      <c r="S48" s="1"/>
      <c r="T48" s="1"/>
      <c r="U48" s="1"/>
      <c r="V48" s="16"/>
      <c r="AE48" s="17">
        <v>45</v>
      </c>
      <c r="AF48" s="2" t="s">
        <v>162</v>
      </c>
      <c r="AG48" s="2" t="s">
        <v>161</v>
      </c>
      <c r="AH48" s="2" t="s">
        <v>28</v>
      </c>
      <c r="AI48" s="14" t="s">
        <v>57</v>
      </c>
      <c r="AJ48" s="14" t="s">
        <v>803</v>
      </c>
      <c r="AK48" s="1">
        <f t="shared" si="3"/>
        <v>2</v>
      </c>
      <c r="AL48" s="1">
        <v>12</v>
      </c>
      <c r="AM48" s="30" t="s">
        <v>174</v>
      </c>
      <c r="AN48" s="1">
        <v>1</v>
      </c>
      <c r="AO48" s="16" t="s">
        <v>20</v>
      </c>
      <c r="AP48" s="13" t="s">
        <v>113</v>
      </c>
      <c r="AQ48" s="17">
        <v>45</v>
      </c>
      <c r="AR48" s="2" t="s">
        <v>832</v>
      </c>
      <c r="AS48" s="2" t="s">
        <v>28</v>
      </c>
      <c r="AW48" s="17">
        <v>45</v>
      </c>
      <c r="AX48" s="86" t="s">
        <v>312</v>
      </c>
      <c r="AY48" s="4" t="s">
        <v>312</v>
      </c>
      <c r="AZ48" t="s">
        <v>184</v>
      </c>
    </row>
    <row r="49" spans="1:52" x14ac:dyDescent="0.2">
      <c r="A49" s="121" t="s">
        <v>215</v>
      </c>
      <c r="B49" s="7">
        <f>IF(D46&gt;=2,VLOOKUP(B46,$K$80:$P$105,4,FALSE)+D46-1,VLOOKUP(B46,$K$80:$P$105,4,FALSE))</f>
        <v>7</v>
      </c>
      <c r="C49" s="97" t="str">
        <f>IF(B49&lt;B5,"Warp System Too Small for Size",IF(B49=0,0,"Warp System Meets Max. Ship Size Restriction"))</f>
        <v>Warp System Meets Max. Ship Size Restriction</v>
      </c>
      <c r="D49" s="7"/>
      <c r="E49" s="6"/>
      <c r="F49" s="6"/>
      <c r="G49" s="6"/>
      <c r="H49">
        <v>24</v>
      </c>
      <c r="I49" t="str">
        <f>IF(($B$8-20)&gt;=5,20,"Min. 5 Space Needed")</f>
        <v>Min. 5 Space Needed</v>
      </c>
      <c r="K49" t="s">
        <v>258</v>
      </c>
      <c r="L49" s="1">
        <v>0</v>
      </c>
      <c r="M49" s="1">
        <v>0</v>
      </c>
      <c r="N49" t="s">
        <v>53</v>
      </c>
      <c r="R49" t="s">
        <v>264</v>
      </c>
      <c r="S49" s="1" t="s">
        <v>263</v>
      </c>
      <c r="T49" s="1">
        <v>7</v>
      </c>
      <c r="U49" s="1" t="s">
        <v>121</v>
      </c>
      <c r="V49" s="16" t="s">
        <v>255</v>
      </c>
      <c r="Y49" s="103" t="s">
        <v>876</v>
      </c>
      <c r="AE49" s="1">
        <v>46</v>
      </c>
      <c r="AF49" s="4" t="s">
        <v>162</v>
      </c>
      <c r="AG49" s="4" t="s">
        <v>161</v>
      </c>
      <c r="AH49" s="4" t="s">
        <v>28</v>
      </c>
      <c r="AI49" s="14" t="s">
        <v>57</v>
      </c>
      <c r="AJ49" s="14" t="s">
        <v>804</v>
      </c>
      <c r="AK49" s="1">
        <f t="shared" si="3"/>
        <v>2</v>
      </c>
      <c r="AL49" s="1">
        <v>12</v>
      </c>
      <c r="AM49" s="30" t="s">
        <v>174</v>
      </c>
      <c r="AN49" s="1">
        <v>1</v>
      </c>
      <c r="AO49" s="16" t="s">
        <v>191</v>
      </c>
      <c r="AP49" s="13" t="s">
        <v>113</v>
      </c>
      <c r="AQ49" s="1">
        <v>46</v>
      </c>
      <c r="AR49" s="86" t="s">
        <v>832</v>
      </c>
      <c r="AS49" s="4" t="s">
        <v>28</v>
      </c>
      <c r="AW49" s="1">
        <v>46</v>
      </c>
      <c r="AX49" s="86" t="s">
        <v>312</v>
      </c>
      <c r="AY49" s="4" t="s">
        <v>312</v>
      </c>
      <c r="AZ49" t="s">
        <v>184</v>
      </c>
    </row>
    <row r="50" spans="1:52" x14ac:dyDescent="0.2">
      <c r="A50" s="121" t="s">
        <v>65</v>
      </c>
      <c r="B50" s="7" t="str">
        <f>VLOOKUP($B$46,$K$80:$P$105,5,FALSE)</f>
        <v>C</v>
      </c>
      <c r="C50" s="6"/>
      <c r="D50" s="15"/>
      <c r="E50" s="6"/>
      <c r="F50" s="6"/>
      <c r="G50" s="6"/>
      <c r="H50">
        <v>25</v>
      </c>
      <c r="I50" t="str">
        <f>IF(($B$8-25)&gt;=5,25,"Min. 5 Space Needed")</f>
        <v>Min. 5 Space Needed</v>
      </c>
      <c r="K50" t="s">
        <v>57</v>
      </c>
      <c r="L50" s="1">
        <f>IF($B$2="Scout",0,1)</f>
        <v>1</v>
      </c>
      <c r="M50" s="16" t="s">
        <v>254</v>
      </c>
      <c r="N50" t="s">
        <v>39</v>
      </c>
      <c r="O50" t="s">
        <v>253</v>
      </c>
      <c r="R50" t="s">
        <v>149</v>
      </c>
      <c r="S50" s="1" t="s">
        <v>260</v>
      </c>
      <c r="T50" s="1">
        <v>9</v>
      </c>
      <c r="U50" s="1" t="s">
        <v>121</v>
      </c>
      <c r="V50" s="16" t="s">
        <v>255</v>
      </c>
      <c r="Y50" s="13" t="s">
        <v>251</v>
      </c>
      <c r="AE50" s="1">
        <v>47</v>
      </c>
      <c r="AF50" s="4" t="s">
        <v>162</v>
      </c>
      <c r="AG50" s="4" t="s">
        <v>161</v>
      </c>
      <c r="AH50" s="4" t="s">
        <v>28</v>
      </c>
      <c r="AI50" s="14" t="s">
        <v>57</v>
      </c>
      <c r="AJ50" s="14" t="s">
        <v>805</v>
      </c>
      <c r="AK50" s="1">
        <f t="shared" si="3"/>
        <v>2</v>
      </c>
      <c r="AL50" s="1">
        <v>12</v>
      </c>
      <c r="AM50" s="30" t="s">
        <v>174</v>
      </c>
      <c r="AN50" s="1">
        <v>1</v>
      </c>
      <c r="AO50" s="16" t="s">
        <v>28</v>
      </c>
      <c r="AP50" s="13" t="s">
        <v>113</v>
      </c>
      <c r="AQ50" s="1">
        <v>47</v>
      </c>
      <c r="AR50" s="86" t="s">
        <v>832</v>
      </c>
      <c r="AS50" s="4" t="s">
        <v>28</v>
      </c>
      <c r="AW50" s="1">
        <v>47</v>
      </c>
      <c r="AX50" s="86" t="s">
        <v>312</v>
      </c>
      <c r="AY50" s="4" t="s">
        <v>312</v>
      </c>
      <c r="AZ50" t="s">
        <v>184</v>
      </c>
    </row>
    <row r="51" spans="1:52" x14ac:dyDescent="0.2">
      <c r="A51" s="121" t="s">
        <v>60</v>
      </c>
      <c r="B51" s="7" t="str">
        <f>VLOOKUP(B46,$K$80:$P$105,6,FALSE)</f>
        <v>Fast, Far &amp; Light vessels pay -1 (min. 1)</v>
      </c>
      <c r="C51" s="6"/>
      <c r="D51" s="15"/>
      <c r="E51" s="6"/>
      <c r="F51" s="6"/>
      <c r="G51" s="6"/>
      <c r="H51">
        <v>26</v>
      </c>
      <c r="I51" t="str">
        <f>IF(($B$8-30)&gt;=5,30,"Min. 5 Space Needed")</f>
        <v>Min. 5 Space Needed</v>
      </c>
      <c r="K51" t="s">
        <v>55</v>
      </c>
      <c r="L51" s="1">
        <f>IF($B$2="Scout",1,2)</f>
        <v>2</v>
      </c>
      <c r="M51" s="16" t="s">
        <v>248</v>
      </c>
      <c r="N51" t="s">
        <v>20</v>
      </c>
      <c r="O51" t="s">
        <v>247</v>
      </c>
      <c r="R51" t="s">
        <v>257</v>
      </c>
      <c r="S51" s="1" t="s">
        <v>256</v>
      </c>
      <c r="T51" s="1">
        <v>6</v>
      </c>
      <c r="U51" s="1">
        <v>9</v>
      </c>
      <c r="V51" s="16" t="s">
        <v>255</v>
      </c>
      <c r="Y51" s="13" t="s">
        <v>244</v>
      </c>
      <c r="AE51" s="1">
        <v>48</v>
      </c>
      <c r="AF51" s="4" t="s">
        <v>162</v>
      </c>
      <c r="AG51" s="4" t="s">
        <v>161</v>
      </c>
      <c r="AH51" s="4" t="s">
        <v>28</v>
      </c>
      <c r="AJ51" s="14" t="s">
        <v>568</v>
      </c>
      <c r="AK51" s="1"/>
      <c r="AL51" s="1"/>
      <c r="AM51" s="1"/>
      <c r="AN51" s="1"/>
      <c r="AO51" s="1"/>
      <c r="AP51" s="13" t="s">
        <v>113</v>
      </c>
      <c r="AQ51" s="1">
        <v>48</v>
      </c>
      <c r="AR51" s="86" t="s">
        <v>832</v>
      </c>
      <c r="AS51" s="4" t="s">
        <v>28</v>
      </c>
      <c r="AW51" s="1">
        <v>48</v>
      </c>
      <c r="AX51" s="86" t="s">
        <v>312</v>
      </c>
      <c r="AY51" s="4" t="s">
        <v>312</v>
      </c>
      <c r="AZ51" t="s">
        <v>184</v>
      </c>
    </row>
    <row r="52" spans="1:52" x14ac:dyDescent="0.2">
      <c r="A52" s="92"/>
      <c r="B52" s="6"/>
      <c r="C52" s="6"/>
      <c r="D52" s="15"/>
      <c r="E52" s="6"/>
      <c r="F52" s="6"/>
      <c r="G52" s="6"/>
      <c r="H52">
        <v>27</v>
      </c>
      <c r="I52" t="str">
        <f>IF(($B$8-35)&gt;=5,35,"Min. 5 Space Needed")</f>
        <v>Min. 5 Space Needed</v>
      </c>
      <c r="K52" t="s">
        <v>51</v>
      </c>
      <c r="L52" s="1">
        <f>IF($B$2="Scout",1,3)</f>
        <v>3</v>
      </c>
      <c r="M52" s="16" t="s">
        <v>240</v>
      </c>
      <c r="N52" t="s">
        <v>28</v>
      </c>
      <c r="O52" t="s">
        <v>239</v>
      </c>
      <c r="R52" t="s">
        <v>252</v>
      </c>
      <c r="S52" s="1"/>
      <c r="T52" s="1"/>
      <c r="U52" s="1"/>
      <c r="V52" s="16"/>
      <c r="Y52" s="13" t="s">
        <v>236</v>
      </c>
      <c r="AE52" s="1">
        <v>49</v>
      </c>
      <c r="AF52" s="4" t="s">
        <v>162</v>
      </c>
      <c r="AG52" s="4" t="s">
        <v>161</v>
      </c>
      <c r="AH52" s="4" t="s">
        <v>28</v>
      </c>
      <c r="AI52" s="14" t="s">
        <v>235</v>
      </c>
      <c r="AJ52" s="14" t="s">
        <v>806</v>
      </c>
      <c r="AK52" s="1">
        <f>IF($B$2="Explorer",1,IF($B$4="Battleship",1,IF($B$4="Dreadnought",1,2)))</f>
        <v>2</v>
      </c>
      <c r="AL52" s="1">
        <v>11</v>
      </c>
      <c r="AM52" s="30" t="s">
        <v>208</v>
      </c>
      <c r="AN52" s="1">
        <v>1</v>
      </c>
      <c r="AO52" s="16" t="s">
        <v>184</v>
      </c>
      <c r="AP52" s="13" t="s">
        <v>113</v>
      </c>
      <c r="AQ52" s="1">
        <v>49</v>
      </c>
      <c r="AR52" s="86" t="s">
        <v>832</v>
      </c>
      <c r="AS52" s="4" t="s">
        <v>28</v>
      </c>
      <c r="AW52" s="1">
        <v>49</v>
      </c>
      <c r="AX52" s="86" t="s">
        <v>312</v>
      </c>
      <c r="AY52" s="4" t="s">
        <v>312</v>
      </c>
      <c r="AZ52" t="s">
        <v>184</v>
      </c>
    </row>
    <row r="53" spans="1:52" x14ac:dyDescent="0.2">
      <c r="A53" s="117" t="s">
        <v>878</v>
      </c>
      <c r="B53" s="117"/>
      <c r="C53" s="117"/>
      <c r="D53" s="117"/>
      <c r="E53" s="5"/>
      <c r="F53" s="5"/>
      <c r="G53" s="5"/>
      <c r="H53">
        <v>28</v>
      </c>
      <c r="I53" t="str">
        <f>IF(($B$8-40)&gt;=5,40,"Min. 5 Space Needed")</f>
        <v>Min. 5 Space Needed</v>
      </c>
      <c r="K53" t="s">
        <v>46</v>
      </c>
      <c r="L53" s="1">
        <f>IF($B$2="Scout",2,4)</f>
        <v>4</v>
      </c>
      <c r="M53" s="16" t="s">
        <v>233</v>
      </c>
      <c r="N53" t="s">
        <v>0</v>
      </c>
      <c r="O53" t="s">
        <v>232</v>
      </c>
      <c r="R53" t="s">
        <v>246</v>
      </c>
      <c r="S53" s="1" t="s">
        <v>245</v>
      </c>
      <c r="T53" s="1">
        <v>5</v>
      </c>
      <c r="U53" s="1">
        <v>8</v>
      </c>
      <c r="V53" s="16" t="s">
        <v>218</v>
      </c>
      <c r="Y53" s="13" t="s">
        <v>229</v>
      </c>
      <c r="AE53" s="1">
        <v>50</v>
      </c>
      <c r="AF53" s="4" t="s">
        <v>162</v>
      </c>
      <c r="AG53" s="4" t="s">
        <v>161</v>
      </c>
      <c r="AH53" s="4" t="s">
        <v>28</v>
      </c>
      <c r="AI53" s="14" t="s">
        <v>55</v>
      </c>
      <c r="AJ53" s="14" t="s">
        <v>807</v>
      </c>
      <c r="AK53" s="1">
        <f>IF($B$2="Explorer",2,IF($B$4="Battleship",2,IF($B$4="Dreadnought",2,4)))</f>
        <v>4</v>
      </c>
      <c r="AL53" s="1">
        <v>12</v>
      </c>
      <c r="AM53" s="30" t="s">
        <v>174</v>
      </c>
      <c r="AN53" s="1">
        <v>2</v>
      </c>
      <c r="AO53" s="16" t="s">
        <v>39</v>
      </c>
      <c r="AP53" s="13" t="s">
        <v>113</v>
      </c>
      <c r="AQ53" s="1">
        <v>50</v>
      </c>
      <c r="AR53" s="86" t="s">
        <v>832</v>
      </c>
      <c r="AS53" s="4" t="s">
        <v>28</v>
      </c>
      <c r="AW53" s="1">
        <v>50</v>
      </c>
      <c r="AX53" s="86" t="s">
        <v>312</v>
      </c>
      <c r="AY53" s="4" t="s">
        <v>312</v>
      </c>
      <c r="AZ53" t="s">
        <v>184</v>
      </c>
    </row>
    <row r="54" spans="1:52" x14ac:dyDescent="0.2">
      <c r="A54" s="121" t="s">
        <v>879</v>
      </c>
      <c r="B54" s="81" t="s">
        <v>736</v>
      </c>
      <c r="C54" s="121" t="s">
        <v>152</v>
      </c>
      <c r="D54" s="1">
        <v>4</v>
      </c>
      <c r="E54" s="6"/>
      <c r="F54" s="6"/>
      <c r="G54" s="6"/>
      <c r="H54">
        <v>29</v>
      </c>
      <c r="I54" t="str">
        <f>IF(($B$8-45)&gt;=5,45,"Min. 5 Space Needed")</f>
        <v>Min. 5 Space Needed</v>
      </c>
      <c r="K54" s="26" t="s">
        <v>227</v>
      </c>
      <c r="R54" t="s">
        <v>238</v>
      </c>
      <c r="S54" s="1" t="s">
        <v>237</v>
      </c>
      <c r="T54" s="1">
        <v>5</v>
      </c>
      <c r="U54" s="1">
        <v>9</v>
      </c>
      <c r="V54" s="16" t="s">
        <v>218</v>
      </c>
      <c r="Y54" s="13" t="s">
        <v>224</v>
      </c>
      <c r="AE54" s="1">
        <v>51</v>
      </c>
      <c r="AF54" s="4" t="s">
        <v>162</v>
      </c>
      <c r="AG54" s="4" t="s">
        <v>161</v>
      </c>
      <c r="AH54" s="4" t="s">
        <v>28</v>
      </c>
      <c r="AI54" s="14" t="s">
        <v>55</v>
      </c>
      <c r="AJ54" s="14" t="s">
        <v>808</v>
      </c>
      <c r="AK54" s="1">
        <f>IF($B$2="Explorer",2,IF($B$4="Battleship",2,IF($B$4="Dreadnought",2,4)))</f>
        <v>4</v>
      </c>
      <c r="AL54" s="1">
        <v>12</v>
      </c>
      <c r="AM54" s="30" t="s">
        <v>174</v>
      </c>
      <c r="AN54" s="1">
        <v>2</v>
      </c>
      <c r="AO54" s="16" t="s">
        <v>179</v>
      </c>
      <c r="AP54" s="13" t="s">
        <v>113</v>
      </c>
      <c r="AQ54" s="1">
        <v>51</v>
      </c>
      <c r="AR54" s="86" t="s">
        <v>832</v>
      </c>
      <c r="AS54" s="4" t="s">
        <v>28</v>
      </c>
      <c r="AW54" s="1">
        <v>51</v>
      </c>
      <c r="AX54" s="86" t="s">
        <v>854</v>
      </c>
      <c r="AY54" t="s">
        <v>864</v>
      </c>
      <c r="AZ54" t="s">
        <v>184</v>
      </c>
    </row>
    <row r="55" spans="1:52" x14ac:dyDescent="0.2">
      <c r="A55" s="121" t="s">
        <v>79</v>
      </c>
      <c r="B55" s="7">
        <f>D55*D54</f>
        <v>12</v>
      </c>
      <c r="C55" s="121" t="s">
        <v>146</v>
      </c>
      <c r="D55" s="7">
        <f>VLOOKUP(B54,$O$3:$T$22,2,FALSE)</f>
        <v>3</v>
      </c>
      <c r="E55" s="6"/>
      <c r="F55" s="6"/>
      <c r="G55" s="6"/>
      <c r="H55">
        <v>30</v>
      </c>
      <c r="I55" t="str">
        <f>IF(($B$8-50)&gt;=5,50,"Min. 5 Space Needed")</f>
        <v>Min. 5 Space Needed</v>
      </c>
      <c r="J55" s="24"/>
      <c r="K55" t="s">
        <v>117</v>
      </c>
      <c r="L55" t="s">
        <v>47</v>
      </c>
      <c r="M55" t="s">
        <v>116</v>
      </c>
      <c r="N55" t="s">
        <v>115</v>
      </c>
      <c r="O55" t="s">
        <v>65</v>
      </c>
      <c r="R55" t="s">
        <v>231</v>
      </c>
      <c r="S55" s="1" t="s">
        <v>230</v>
      </c>
      <c r="T55" s="1">
        <v>6</v>
      </c>
      <c r="U55" s="1">
        <v>9</v>
      </c>
      <c r="V55" s="16" t="s">
        <v>218</v>
      </c>
      <c r="Y55" s="13" t="s">
        <v>217</v>
      </c>
      <c r="AE55" s="1">
        <v>52</v>
      </c>
      <c r="AF55" s="4" t="s">
        <v>162</v>
      </c>
      <c r="AG55" s="4" t="s">
        <v>161</v>
      </c>
      <c r="AH55" s="4" t="s">
        <v>28</v>
      </c>
      <c r="AI55" s="14" t="s">
        <v>55</v>
      </c>
      <c r="AJ55" s="14" t="s">
        <v>809</v>
      </c>
      <c r="AK55" s="1">
        <f>IF($B$2="Explorer",2,IF($B$4="Battleship",2,IF($B$4="Dreadnought",2,4)))</f>
        <v>4</v>
      </c>
      <c r="AL55" s="1">
        <v>12</v>
      </c>
      <c r="AM55" s="30" t="s">
        <v>174</v>
      </c>
      <c r="AN55" s="1">
        <v>2</v>
      </c>
      <c r="AO55" s="16" t="s">
        <v>20</v>
      </c>
      <c r="AP55" s="13" t="s">
        <v>113</v>
      </c>
      <c r="AQ55" s="1">
        <v>52</v>
      </c>
      <c r="AR55" s="86" t="s">
        <v>832</v>
      </c>
      <c r="AS55" s="4" t="s">
        <v>28</v>
      </c>
    </row>
    <row r="56" spans="1:52" x14ac:dyDescent="0.2">
      <c r="A56" s="121" t="s">
        <v>144</v>
      </c>
      <c r="B56" s="7">
        <f>D56*D54</f>
        <v>16</v>
      </c>
      <c r="C56" s="121" t="s">
        <v>143</v>
      </c>
      <c r="D56" s="7">
        <f>VLOOKUP(B54,$O$3:$T$22,3,FALSE)</f>
        <v>4</v>
      </c>
      <c r="E56" s="6"/>
      <c r="F56" s="6"/>
      <c r="G56" s="6"/>
      <c r="H56">
        <v>31</v>
      </c>
      <c r="K56" t="s">
        <v>10</v>
      </c>
      <c r="L56" s="1">
        <v>0</v>
      </c>
      <c r="M56" s="30" t="s">
        <v>208</v>
      </c>
      <c r="N56" s="4">
        <v>0</v>
      </c>
      <c r="O56" s="4" t="s">
        <v>113</v>
      </c>
      <c r="P56" s="13" t="s">
        <v>113</v>
      </c>
      <c r="R56" t="s">
        <v>226</v>
      </c>
      <c r="S56" s="1" t="s">
        <v>225</v>
      </c>
      <c r="T56" s="1">
        <v>6</v>
      </c>
      <c r="U56" s="1">
        <v>9</v>
      </c>
      <c r="V56" s="16" t="s">
        <v>218</v>
      </c>
      <c r="Y56" s="13" t="s">
        <v>213</v>
      </c>
      <c r="AE56" s="1">
        <v>53</v>
      </c>
      <c r="AF56" s="4" t="s">
        <v>162</v>
      </c>
      <c r="AG56" s="4" t="s">
        <v>161</v>
      </c>
      <c r="AH56" s="4" t="s">
        <v>28</v>
      </c>
      <c r="AI56" s="14" t="s">
        <v>55</v>
      </c>
      <c r="AJ56" s="14" t="s">
        <v>810</v>
      </c>
      <c r="AK56" s="1">
        <f>IF($B$2="Explorer",2,IF($B$4="Battleship",2,IF($B$4="Dreadnought",2,4)))</f>
        <v>4</v>
      </c>
      <c r="AL56" s="1">
        <v>12</v>
      </c>
      <c r="AM56" s="30" t="s">
        <v>174</v>
      </c>
      <c r="AN56" s="1">
        <v>2</v>
      </c>
      <c r="AO56" s="16" t="s">
        <v>191</v>
      </c>
      <c r="AP56" s="13" t="s">
        <v>113</v>
      </c>
      <c r="AQ56" s="1">
        <v>53</v>
      </c>
      <c r="AR56" s="86" t="s">
        <v>832</v>
      </c>
      <c r="AS56" s="4" t="s">
        <v>28</v>
      </c>
    </row>
    <row r="57" spans="1:52" x14ac:dyDescent="0.2">
      <c r="A57" s="121" t="s">
        <v>139</v>
      </c>
      <c r="B57" s="7">
        <f>VLOOKUP(B54,$O$3:$T$22,4,FALSE)</f>
        <v>5</v>
      </c>
      <c r="C57" s="107" t="str">
        <f>IF(B57&gt;$B$5,"Weapon Too Large for Ship Size","Meets Min. Ship Size Restriction")</f>
        <v>Weapon Too Large for Ship Size</v>
      </c>
      <c r="D57" s="15"/>
      <c r="E57" s="6"/>
      <c r="F57" s="6"/>
      <c r="G57" s="6"/>
      <c r="H57">
        <v>32</v>
      </c>
      <c r="K57" s="31" t="s">
        <v>109</v>
      </c>
      <c r="L57" s="1"/>
      <c r="M57" s="1"/>
      <c r="N57" s="1"/>
      <c r="O57" s="1"/>
      <c r="R57" t="s">
        <v>220</v>
      </c>
      <c r="S57" s="4" t="s">
        <v>219</v>
      </c>
      <c r="T57" s="1">
        <v>4</v>
      </c>
      <c r="U57" s="1">
        <v>7</v>
      </c>
      <c r="V57" s="16" t="s">
        <v>218</v>
      </c>
      <c r="Y57" s="13" t="s">
        <v>145</v>
      </c>
      <c r="AE57" s="1">
        <v>54</v>
      </c>
      <c r="AF57" s="4" t="s">
        <v>162</v>
      </c>
      <c r="AG57" s="4" t="s">
        <v>161</v>
      </c>
      <c r="AH57" s="4" t="s">
        <v>28</v>
      </c>
      <c r="AJ57" s="14" t="s">
        <v>573</v>
      </c>
      <c r="AK57" s="1"/>
      <c r="AL57" s="1"/>
      <c r="AM57" s="1"/>
      <c r="AN57" s="1"/>
      <c r="AO57" s="1"/>
      <c r="AP57" s="13" t="s">
        <v>113</v>
      </c>
      <c r="AQ57" s="1">
        <v>54</v>
      </c>
      <c r="AR57" s="86" t="s">
        <v>832</v>
      </c>
      <c r="AS57" s="4" t="s">
        <v>28</v>
      </c>
      <c r="AX57" s="1"/>
    </row>
    <row r="58" spans="1:52" x14ac:dyDescent="0.2">
      <c r="A58" s="121"/>
      <c r="B58" s="7"/>
      <c r="C58" s="6"/>
      <c r="D58" s="15"/>
      <c r="E58" s="6"/>
      <c r="F58" s="6"/>
      <c r="G58" s="6"/>
      <c r="H58">
        <v>33</v>
      </c>
      <c r="J58" s="20"/>
      <c r="K58" s="13" t="s">
        <v>748</v>
      </c>
      <c r="L58" s="1">
        <v>1</v>
      </c>
      <c r="M58" s="1" t="s">
        <v>206</v>
      </c>
      <c r="N58" s="1">
        <v>2</v>
      </c>
      <c r="O58" s="1" t="s">
        <v>20</v>
      </c>
      <c r="P58" s="13" t="s">
        <v>130</v>
      </c>
      <c r="R58" t="s">
        <v>214</v>
      </c>
      <c r="S58" s="1"/>
      <c r="T58" s="1"/>
      <c r="U58" s="1"/>
      <c r="V58" s="16"/>
      <c r="Y58" s="13" t="s">
        <v>114</v>
      </c>
      <c r="AE58" s="1">
        <v>55</v>
      </c>
      <c r="AF58" s="4" t="s">
        <v>162</v>
      </c>
      <c r="AG58" s="4" t="s">
        <v>161</v>
      </c>
      <c r="AH58" s="4" t="s">
        <v>28</v>
      </c>
      <c r="AI58" s="14" t="s">
        <v>176</v>
      </c>
      <c r="AJ58" s="14" t="s">
        <v>811</v>
      </c>
      <c r="AK58" s="1">
        <f>IF($B$2="Explorer",4,IF($B$4="Battleship",4,IF($B$4="Dreadnought",4,6)))</f>
        <v>6</v>
      </c>
      <c r="AL58" s="1">
        <v>13</v>
      </c>
      <c r="AM58" s="30" t="s">
        <v>174</v>
      </c>
      <c r="AN58" s="1">
        <v>3</v>
      </c>
      <c r="AO58" s="16" t="s">
        <v>184</v>
      </c>
      <c r="AP58" s="13" t="s">
        <v>113</v>
      </c>
      <c r="AQ58" s="1">
        <v>55</v>
      </c>
      <c r="AR58" s="86" t="s">
        <v>832</v>
      </c>
      <c r="AS58" s="4" t="s">
        <v>28</v>
      </c>
      <c r="AX58" s="1"/>
    </row>
    <row r="59" spans="1:52" x14ac:dyDescent="0.2">
      <c r="A59" s="121" t="s">
        <v>60</v>
      </c>
      <c r="B59" s="7" t="str">
        <f>VLOOKUP(B54,$O$3:$T$22,5,FALSE)</f>
        <v xml:space="preserve"> </v>
      </c>
      <c r="C59" s="6"/>
      <c r="D59" s="6"/>
      <c r="E59" s="6"/>
      <c r="F59" s="6"/>
      <c r="G59" s="6"/>
      <c r="H59">
        <v>34</v>
      </c>
      <c r="J59" s="20"/>
      <c r="K59" s="13" t="s">
        <v>749</v>
      </c>
      <c r="L59" s="1">
        <f>IF($B$2="Escort",1,IF($B$2="Destroyer",1,2))</f>
        <v>2</v>
      </c>
      <c r="M59" s="1" t="s">
        <v>171</v>
      </c>
      <c r="N59" s="1">
        <v>4</v>
      </c>
      <c r="O59" s="1" t="s">
        <v>53</v>
      </c>
      <c r="P59" s="13" t="s">
        <v>130</v>
      </c>
      <c r="R59" t="s">
        <v>212</v>
      </c>
      <c r="S59" s="1" t="s">
        <v>211</v>
      </c>
      <c r="T59" s="1">
        <v>4</v>
      </c>
      <c r="U59" s="1">
        <v>6</v>
      </c>
      <c r="V59" s="16" t="s">
        <v>69</v>
      </c>
      <c r="AE59" s="1">
        <v>56</v>
      </c>
      <c r="AF59" s="4" t="s">
        <v>162</v>
      </c>
      <c r="AG59" s="4" t="s">
        <v>161</v>
      </c>
      <c r="AH59" s="4" t="s">
        <v>28</v>
      </c>
      <c r="AI59" s="14" t="s">
        <v>176</v>
      </c>
      <c r="AJ59" s="14" t="s">
        <v>812</v>
      </c>
      <c r="AK59" s="1">
        <f>IF($B$2="Explorer",4,IF($B$4="Battleship",4,IF($B$4="Dreadnought",4,6)))</f>
        <v>6</v>
      </c>
      <c r="AL59" s="1">
        <v>13</v>
      </c>
      <c r="AM59" s="30" t="s">
        <v>174</v>
      </c>
      <c r="AN59" s="1">
        <v>3</v>
      </c>
      <c r="AO59" s="16" t="s">
        <v>39</v>
      </c>
      <c r="AP59" s="13" t="s">
        <v>113</v>
      </c>
      <c r="AQ59" s="1">
        <v>56</v>
      </c>
      <c r="AR59" s="86" t="s">
        <v>832</v>
      </c>
      <c r="AS59" s="4" t="s">
        <v>28</v>
      </c>
      <c r="AX59" s="1"/>
    </row>
    <row r="60" spans="1:52" x14ac:dyDescent="0.2">
      <c r="A60" s="121"/>
      <c r="B60" s="7" t="str">
        <f>VLOOKUP(B54,$O$3:$T$22,6,FALSE)</f>
        <v>Heavy vessels pay -1 (min. 1)</v>
      </c>
      <c r="C60" s="6"/>
      <c r="D60" s="6"/>
      <c r="E60" s="6"/>
      <c r="F60" s="6"/>
      <c r="G60" s="6"/>
      <c r="H60">
        <v>35</v>
      </c>
      <c r="I60" s="25" t="s">
        <v>200</v>
      </c>
      <c r="J60" s="20"/>
      <c r="K60" s="13" t="s">
        <v>750</v>
      </c>
      <c r="L60" s="1">
        <f>IF($B$2="Escort",2,IF($B$2="Destroyer",2,3))</f>
        <v>3</v>
      </c>
      <c r="M60" s="1" t="s">
        <v>171</v>
      </c>
      <c r="N60" s="1">
        <v>6</v>
      </c>
      <c r="O60" s="1" t="s">
        <v>39</v>
      </c>
      <c r="P60" s="13" t="s">
        <v>130</v>
      </c>
      <c r="R60" t="s">
        <v>205</v>
      </c>
      <c r="S60" s="1" t="s">
        <v>204</v>
      </c>
      <c r="T60" s="1">
        <v>5</v>
      </c>
      <c r="U60" s="1">
        <v>7</v>
      </c>
      <c r="V60" s="16" t="s">
        <v>69</v>
      </c>
      <c r="AE60" s="1">
        <v>57</v>
      </c>
      <c r="AF60" s="4" t="s">
        <v>162</v>
      </c>
      <c r="AG60" s="4" t="s">
        <v>161</v>
      </c>
      <c r="AH60" s="4" t="s">
        <v>28</v>
      </c>
      <c r="AI60" s="14" t="s">
        <v>176</v>
      </c>
      <c r="AJ60" s="14" t="s">
        <v>813</v>
      </c>
      <c r="AK60" s="1">
        <f>IF($B$2="Explorer",4,IF($B$4="Battleship",4,IF($B$4="Dreadnought",4,6)))</f>
        <v>6</v>
      </c>
      <c r="AL60" s="1">
        <v>13</v>
      </c>
      <c r="AM60" s="30" t="s">
        <v>174</v>
      </c>
      <c r="AN60" s="1">
        <v>3</v>
      </c>
      <c r="AO60" s="16" t="s">
        <v>179</v>
      </c>
      <c r="AP60" s="13" t="s">
        <v>113</v>
      </c>
      <c r="AQ60" s="1">
        <v>57</v>
      </c>
      <c r="AR60" s="86" t="s">
        <v>832</v>
      </c>
      <c r="AS60" s="4" t="s">
        <v>28</v>
      </c>
      <c r="AX60" s="1"/>
    </row>
    <row r="61" spans="1:52" x14ac:dyDescent="0.2">
      <c r="A61" s="121"/>
      <c r="B61" s="15"/>
      <c r="C61" s="6"/>
      <c r="D61" s="6"/>
      <c r="E61" s="6"/>
      <c r="F61" s="6"/>
      <c r="G61" s="6"/>
      <c r="H61">
        <v>36</v>
      </c>
      <c r="I61">
        <v>0</v>
      </c>
      <c r="J61" s="20"/>
      <c r="K61" s="13" t="s">
        <v>751</v>
      </c>
      <c r="L61" s="1">
        <f>IF($B$2="Escort",2,IF($B$2="Destroyer",2,3))</f>
        <v>3</v>
      </c>
      <c r="M61" s="1" t="s">
        <v>190</v>
      </c>
      <c r="N61" s="1">
        <v>5</v>
      </c>
      <c r="O61" s="1" t="s">
        <v>39</v>
      </c>
      <c r="P61" s="13" t="s">
        <v>130</v>
      </c>
      <c r="R61" t="s">
        <v>202</v>
      </c>
      <c r="S61" s="1"/>
      <c r="T61" s="1"/>
      <c r="U61" s="1"/>
      <c r="V61" s="16"/>
      <c r="AE61" s="1">
        <v>58</v>
      </c>
      <c r="AF61" s="4" t="s">
        <v>162</v>
      </c>
      <c r="AG61" s="4" t="s">
        <v>161</v>
      </c>
      <c r="AH61" s="4" t="s">
        <v>28</v>
      </c>
      <c r="AI61" s="14" t="s">
        <v>176</v>
      </c>
      <c r="AJ61" s="14" t="s">
        <v>814</v>
      </c>
      <c r="AK61" s="1">
        <f>IF($B$2="Explorer",4,IF($B$4="Battleship",4,IF($B$4="Dreadnought",4,6)))</f>
        <v>6</v>
      </c>
      <c r="AL61" s="1">
        <v>13</v>
      </c>
      <c r="AM61" s="30" t="s">
        <v>174</v>
      </c>
      <c r="AN61" s="1">
        <v>3</v>
      </c>
      <c r="AO61" s="16" t="s">
        <v>20</v>
      </c>
      <c r="AP61" s="13" t="s">
        <v>113</v>
      </c>
      <c r="AQ61" s="1">
        <v>58</v>
      </c>
      <c r="AR61" s="86" t="s">
        <v>832</v>
      </c>
      <c r="AS61" s="4" t="s">
        <v>28</v>
      </c>
      <c r="AX61" s="1"/>
    </row>
    <row r="62" spans="1:52" x14ac:dyDescent="0.2">
      <c r="A62" s="121" t="s">
        <v>883</v>
      </c>
      <c r="B62" s="110" t="str">
        <f>IF(B54="FL-1, FL-2, FL-3", VLOOKUP($B$56,$AW$2:$AZ$54,2,FALSE),IF(B54="FL-4, FL-5, FL-6",VLOOKUP(B56,$AW$2:$AZ$54,2,FALSE),VLOOKUP(B56,$AE$2:$AH$113,2,FALSE)))</f>
        <v>4/4/4/0/0</v>
      </c>
      <c r="C62" s="107" t="str">
        <f>IF(B62=" "," ","Reference Value Only")</f>
        <v>Reference Value Only</v>
      </c>
      <c r="D62" s="6"/>
      <c r="E62" s="6"/>
      <c r="F62" s="6"/>
      <c r="G62" s="6"/>
      <c r="H62">
        <v>37</v>
      </c>
      <c r="I62">
        <f>IF(($B$8*0.25)&gt;=5,5,"Min. 5 Structure Needed; Max. 25%")</f>
        <v>5</v>
      </c>
      <c r="J62" s="20"/>
      <c r="K62" s="13" t="s">
        <v>752</v>
      </c>
      <c r="L62" s="1">
        <f>IF($B$2="Escort",3,IF($B$2="Destroyer",3,4))</f>
        <v>4</v>
      </c>
      <c r="M62" s="1" t="s">
        <v>190</v>
      </c>
      <c r="N62" s="1">
        <v>6</v>
      </c>
      <c r="O62" s="1" t="s">
        <v>20</v>
      </c>
      <c r="P62" s="13" t="s">
        <v>130</v>
      </c>
      <c r="R62" t="s">
        <v>198</v>
      </c>
      <c r="S62" s="1" t="s">
        <v>197</v>
      </c>
      <c r="T62" s="1">
        <v>3</v>
      </c>
      <c r="U62" s="1">
        <v>5</v>
      </c>
      <c r="V62" s="16" t="s">
        <v>125</v>
      </c>
      <c r="AE62" s="1">
        <v>59</v>
      </c>
      <c r="AF62" s="4" t="s">
        <v>162</v>
      </c>
      <c r="AG62" s="4" t="s">
        <v>161</v>
      </c>
      <c r="AH62" s="4" t="s">
        <v>28</v>
      </c>
      <c r="AJ62" s="14"/>
      <c r="AK62" s="1"/>
      <c r="AL62" s="1"/>
      <c r="AM62" s="1"/>
      <c r="AN62" s="1"/>
      <c r="AP62" s="13" t="s">
        <v>113</v>
      </c>
      <c r="AQ62" s="1">
        <v>59</v>
      </c>
      <c r="AR62" s="86" t="s">
        <v>832</v>
      </c>
      <c r="AS62" s="4" t="s">
        <v>28</v>
      </c>
      <c r="AX62" s="1"/>
    </row>
    <row r="63" spans="1:52" x14ac:dyDescent="0.2">
      <c r="A63" s="121" t="s">
        <v>882</v>
      </c>
      <c r="B63" s="110" t="str">
        <f>IF(B54="FL-1, FL-2, FL-3", VLOOKUP(B56,$AW$2:$AZ$54,4,FALSE),IF(B54="FL-4, FL-5, FL-6",VLOOKUP(B56,$AW$2:$AZ$54,4,FALSE),VLOOKUP(B56,$AE$2:$AH$113,4,FALSE)))</f>
        <v>B</v>
      </c>
      <c r="C63" s="107" t="str">
        <f>IF(B63=" "," ","Reference Value Only")</f>
        <v>Reference Value Only</v>
      </c>
      <c r="D63" s="15"/>
      <c r="E63" s="6"/>
      <c r="F63" s="6"/>
      <c r="G63" s="6"/>
      <c r="H63">
        <v>38</v>
      </c>
      <c r="I63" t="str">
        <f>IF(($B$8*0.25)&gt;=10,10,"Min. 5 Structure Needed; Max. 25%")</f>
        <v>Min. 5 Structure Needed; Max. 25%</v>
      </c>
      <c r="J63" s="20"/>
      <c r="K63" s="13" t="s">
        <v>753</v>
      </c>
      <c r="L63" s="1">
        <f>IF($B$2="Escort",4,IF($B$2="Destroyer",4,5))</f>
        <v>5</v>
      </c>
      <c r="M63" s="1" t="s">
        <v>171</v>
      </c>
      <c r="N63" s="1">
        <v>8</v>
      </c>
      <c r="O63" s="1" t="s">
        <v>28</v>
      </c>
      <c r="P63" s="13" t="s">
        <v>130</v>
      </c>
      <c r="R63" t="s">
        <v>194</v>
      </c>
      <c r="S63" s="1" t="s">
        <v>193</v>
      </c>
      <c r="T63" s="1">
        <v>4</v>
      </c>
      <c r="U63" s="1">
        <v>6</v>
      </c>
      <c r="V63" s="16" t="s">
        <v>125</v>
      </c>
      <c r="AE63" s="17">
        <v>60</v>
      </c>
      <c r="AF63" s="2" t="s">
        <v>97</v>
      </c>
      <c r="AG63" s="2" t="s">
        <v>96</v>
      </c>
      <c r="AH63" s="2" t="s">
        <v>28</v>
      </c>
      <c r="AJ63" s="29" t="s">
        <v>10</v>
      </c>
      <c r="AK63" s="1">
        <v>0</v>
      </c>
      <c r="AL63" s="28">
        <v>5</v>
      </c>
      <c r="AM63" s="1">
        <v>0</v>
      </c>
      <c r="AN63" s="1">
        <v>0</v>
      </c>
      <c r="AP63" s="13" t="s">
        <v>113</v>
      </c>
      <c r="AQ63" s="17">
        <v>60</v>
      </c>
      <c r="AR63" s="2" t="s">
        <v>833</v>
      </c>
      <c r="AS63" s="2" t="s">
        <v>28</v>
      </c>
      <c r="AX63" s="1"/>
    </row>
    <row r="64" spans="1:52" x14ac:dyDescent="0.2">
      <c r="A64" s="93"/>
      <c r="B64" s="7"/>
      <c r="C64" s="19"/>
      <c r="D64" s="15"/>
      <c r="E64" s="6"/>
      <c r="F64" s="6"/>
      <c r="G64" s="6"/>
      <c r="H64">
        <v>39</v>
      </c>
      <c r="J64" s="20"/>
      <c r="K64" s="13" t="s">
        <v>754</v>
      </c>
      <c r="L64" s="1">
        <f>IF($B$2="Escort",5,IF($B$2="Destroyer",5,6))</f>
        <v>6</v>
      </c>
      <c r="M64" s="1" t="s">
        <v>164</v>
      </c>
      <c r="N64" s="1">
        <v>10</v>
      </c>
      <c r="O64" s="1" t="s">
        <v>28</v>
      </c>
      <c r="P64" s="13" t="s">
        <v>130</v>
      </c>
      <c r="R64" t="s">
        <v>189</v>
      </c>
      <c r="S64" s="1" t="s">
        <v>188</v>
      </c>
      <c r="T64" s="1">
        <v>4</v>
      </c>
      <c r="U64" s="1">
        <v>6</v>
      </c>
      <c r="V64" s="16" t="s">
        <v>125</v>
      </c>
      <c r="AE64" s="1">
        <v>61</v>
      </c>
      <c r="AF64" s="4" t="s">
        <v>97</v>
      </c>
      <c r="AG64" s="4" t="s">
        <v>96</v>
      </c>
      <c r="AH64" s="4" t="s">
        <v>28</v>
      </c>
      <c r="AJ64" s="29"/>
      <c r="AK64" s="1"/>
      <c r="AL64" s="28"/>
      <c r="AM64" s="1"/>
      <c r="AN64" s="1"/>
      <c r="AP64" s="13"/>
      <c r="AQ64" s="1">
        <v>61</v>
      </c>
      <c r="AR64" s="86" t="s">
        <v>833</v>
      </c>
      <c r="AS64" s="4" t="s">
        <v>28</v>
      </c>
      <c r="AX64" s="1"/>
    </row>
    <row r="65" spans="1:50" x14ac:dyDescent="0.2">
      <c r="A65" s="92"/>
      <c r="B65" s="15"/>
      <c r="C65" s="6"/>
      <c r="D65" s="6"/>
      <c r="E65" s="6"/>
      <c r="F65" s="6"/>
      <c r="G65" s="6"/>
      <c r="H65">
        <v>40</v>
      </c>
      <c r="J65" s="32"/>
      <c r="K65" s="13" t="s">
        <v>755</v>
      </c>
      <c r="L65" s="1">
        <f>IF($B$2="Escort",6,IF($B$2="Destroyer",6,7))</f>
        <v>7</v>
      </c>
      <c r="M65" s="4" t="s">
        <v>150</v>
      </c>
      <c r="N65" s="1">
        <v>10</v>
      </c>
      <c r="O65" s="4" t="s">
        <v>28</v>
      </c>
      <c r="P65" s="13" t="s">
        <v>130</v>
      </c>
      <c r="R65" t="s">
        <v>187</v>
      </c>
      <c r="S65" s="1" t="s">
        <v>186</v>
      </c>
      <c r="T65" s="1">
        <v>2</v>
      </c>
      <c r="U65" s="1">
        <v>4</v>
      </c>
      <c r="V65" s="16" t="s">
        <v>125</v>
      </c>
      <c r="AE65" s="1">
        <v>62</v>
      </c>
      <c r="AF65" s="4" t="s">
        <v>97</v>
      </c>
      <c r="AG65" s="4" t="s">
        <v>96</v>
      </c>
      <c r="AH65" s="4" t="s">
        <v>28</v>
      </c>
      <c r="AJ65" s="29"/>
      <c r="AK65" s="1"/>
      <c r="AL65" s="28"/>
      <c r="AM65" s="1"/>
      <c r="AN65" s="1"/>
      <c r="AP65" s="13"/>
      <c r="AQ65" s="1">
        <v>62</v>
      </c>
      <c r="AR65" s="86" t="s">
        <v>833</v>
      </c>
      <c r="AS65" s="4" t="s">
        <v>28</v>
      </c>
      <c r="AX65" s="1"/>
    </row>
    <row r="66" spans="1:50" x14ac:dyDescent="0.2">
      <c r="A66" s="121" t="s">
        <v>880</v>
      </c>
      <c r="B66" s="81" t="s">
        <v>10</v>
      </c>
      <c r="C66" s="121" t="s">
        <v>152</v>
      </c>
      <c r="D66" s="1">
        <v>4</v>
      </c>
      <c r="E66" s="6"/>
      <c r="F66" s="6"/>
      <c r="G66" s="6"/>
      <c r="H66">
        <v>41</v>
      </c>
      <c r="K66" s="31" t="s">
        <v>58</v>
      </c>
      <c r="L66" s="1"/>
      <c r="M66" s="1"/>
      <c r="N66" s="1"/>
      <c r="O66" s="1"/>
      <c r="P66" s="13"/>
      <c r="R66" t="s">
        <v>183</v>
      </c>
      <c r="S66" s="1"/>
      <c r="T66" s="1"/>
      <c r="U66" s="1"/>
      <c r="V66" s="16"/>
      <c r="AE66" s="1">
        <v>63</v>
      </c>
      <c r="AF66" s="4" t="s">
        <v>97</v>
      </c>
      <c r="AG66" s="4" t="s">
        <v>96</v>
      </c>
      <c r="AH66" s="4" t="s">
        <v>28</v>
      </c>
      <c r="AJ66" s="29"/>
      <c r="AK66" s="1"/>
      <c r="AL66" s="28"/>
      <c r="AM66" s="1"/>
      <c r="AN66" s="1"/>
      <c r="AP66" s="13"/>
      <c r="AQ66" s="1">
        <v>63</v>
      </c>
      <c r="AR66" s="86" t="s">
        <v>833</v>
      </c>
      <c r="AS66" s="4" t="s">
        <v>28</v>
      </c>
      <c r="AX66" s="1"/>
    </row>
    <row r="67" spans="1:50" x14ac:dyDescent="0.2">
      <c r="A67" s="121" t="s">
        <v>79</v>
      </c>
      <c r="B67" s="7">
        <f>D67*D66</f>
        <v>0</v>
      </c>
      <c r="C67" s="121" t="s">
        <v>146</v>
      </c>
      <c r="D67" s="7">
        <f>VLOOKUP(B66,$O$3:$T$22,2,FALSE)</f>
        <v>0</v>
      </c>
      <c r="E67" s="6"/>
      <c r="F67" s="6"/>
      <c r="G67" s="6"/>
      <c r="H67">
        <v>42</v>
      </c>
      <c r="K67" t="s">
        <v>57</v>
      </c>
      <c r="L67" s="1">
        <v>1</v>
      </c>
      <c r="M67" s="1" t="s">
        <v>171</v>
      </c>
      <c r="N67" s="1">
        <v>2</v>
      </c>
      <c r="O67" s="1" t="s">
        <v>28</v>
      </c>
      <c r="P67" s="13" t="s">
        <v>130</v>
      </c>
      <c r="R67" t="s">
        <v>178</v>
      </c>
      <c r="S67" s="1" t="s">
        <v>177</v>
      </c>
      <c r="T67" s="1">
        <v>3</v>
      </c>
      <c r="U67" s="1">
        <v>5</v>
      </c>
      <c r="V67" s="16" t="s">
        <v>166</v>
      </c>
      <c r="AE67" s="1">
        <v>64</v>
      </c>
      <c r="AF67" s="4" t="s">
        <v>97</v>
      </c>
      <c r="AG67" s="4" t="s">
        <v>96</v>
      </c>
      <c r="AH67" s="4" t="s">
        <v>28</v>
      </c>
      <c r="AJ67" s="29"/>
      <c r="AK67" s="1"/>
      <c r="AL67" s="28"/>
      <c r="AM67" s="1"/>
      <c r="AN67" s="1"/>
      <c r="AP67" s="13"/>
      <c r="AQ67" s="1">
        <v>64</v>
      </c>
      <c r="AR67" s="86" t="s">
        <v>833</v>
      </c>
      <c r="AS67" s="4" t="s">
        <v>28</v>
      </c>
      <c r="AX67" s="1"/>
    </row>
    <row r="68" spans="1:50" x14ac:dyDescent="0.2">
      <c r="A68" s="121" t="s">
        <v>144</v>
      </c>
      <c r="B68" s="7">
        <f>D68*D66</f>
        <v>0</v>
      </c>
      <c r="C68" s="121" t="s">
        <v>143</v>
      </c>
      <c r="D68" s="7">
        <f>VLOOKUP(B66,$O$3:$T$22,3,FALSE)</f>
        <v>0</v>
      </c>
      <c r="E68" s="6"/>
      <c r="F68" s="6"/>
      <c r="G68" s="6"/>
      <c r="H68">
        <v>43</v>
      </c>
      <c r="K68" t="s">
        <v>55</v>
      </c>
      <c r="L68" s="1">
        <v>1</v>
      </c>
      <c r="M68" s="1" t="s">
        <v>171</v>
      </c>
      <c r="N68" s="1">
        <v>4</v>
      </c>
      <c r="O68" s="1" t="s">
        <v>0</v>
      </c>
      <c r="P68" s="13" t="s">
        <v>130</v>
      </c>
      <c r="R68" t="s">
        <v>173</v>
      </c>
      <c r="S68" s="1" t="s">
        <v>172</v>
      </c>
      <c r="T68" s="1">
        <v>3</v>
      </c>
      <c r="U68" s="1">
        <v>5</v>
      </c>
      <c r="V68" s="16" t="s">
        <v>166</v>
      </c>
      <c r="AE68" s="1">
        <v>65</v>
      </c>
      <c r="AF68" s="4" t="s">
        <v>97</v>
      </c>
      <c r="AG68" s="4" t="s">
        <v>96</v>
      </c>
      <c r="AH68" s="4" t="s">
        <v>28</v>
      </c>
      <c r="AJ68" s="29"/>
      <c r="AK68" s="1"/>
      <c r="AL68" s="28"/>
      <c r="AM68" s="1"/>
      <c r="AN68" s="1"/>
      <c r="AP68" s="13"/>
      <c r="AQ68" s="1">
        <v>65</v>
      </c>
      <c r="AR68" s="86" t="s">
        <v>833</v>
      </c>
      <c r="AS68" s="4" t="s">
        <v>28</v>
      </c>
      <c r="AX68" s="1"/>
    </row>
    <row r="69" spans="1:50" x14ac:dyDescent="0.2">
      <c r="A69" s="121" t="s">
        <v>139</v>
      </c>
      <c r="B69" s="7">
        <f>VLOOKUP(B66,$O$3:$T$22,4,FALSE)</f>
        <v>0</v>
      </c>
      <c r="C69" s="107" t="str">
        <f>IF(B69&gt;$B$5,"Weapon Too Large for Ship Size","Meets Min. Ship Size Restriction")</f>
        <v>Meets Min. Ship Size Restriction</v>
      </c>
      <c r="D69" s="15"/>
      <c r="E69" s="6"/>
      <c r="F69" s="6"/>
      <c r="G69" s="6"/>
      <c r="H69">
        <v>44</v>
      </c>
      <c r="K69" t="s">
        <v>51</v>
      </c>
      <c r="L69" s="1">
        <f>IF($B$2="Escort",1,IF($B$2="Destroyer",1,2))</f>
        <v>2</v>
      </c>
      <c r="M69" s="1" t="s">
        <v>164</v>
      </c>
      <c r="N69" s="1">
        <v>6</v>
      </c>
      <c r="O69" s="1" t="s">
        <v>20</v>
      </c>
      <c r="P69" s="13" t="s">
        <v>130</v>
      </c>
      <c r="R69" t="s">
        <v>170</v>
      </c>
      <c r="S69" s="1" t="s">
        <v>169</v>
      </c>
      <c r="T69" s="1">
        <v>4</v>
      </c>
      <c r="U69" s="1">
        <v>7</v>
      </c>
      <c r="V69" s="16" t="s">
        <v>166</v>
      </c>
      <c r="AE69" s="1">
        <v>66</v>
      </c>
      <c r="AF69" s="4" t="s">
        <v>97</v>
      </c>
      <c r="AG69" s="4" t="s">
        <v>96</v>
      </c>
      <c r="AH69" s="4" t="s">
        <v>28</v>
      </c>
      <c r="AJ69" s="29"/>
      <c r="AK69" s="1"/>
      <c r="AL69" s="28"/>
      <c r="AM69" s="1"/>
      <c r="AN69" s="1"/>
      <c r="AP69" s="13"/>
      <c r="AQ69" s="1">
        <v>66</v>
      </c>
      <c r="AR69" s="86" t="s">
        <v>833</v>
      </c>
      <c r="AS69" s="4" t="s">
        <v>28</v>
      </c>
      <c r="AX69" s="1"/>
    </row>
    <row r="70" spans="1:50" x14ac:dyDescent="0.2">
      <c r="A70" s="121"/>
      <c r="B70" s="7"/>
      <c r="C70" s="6"/>
      <c r="D70" s="15"/>
      <c r="E70" s="6"/>
      <c r="F70" s="6"/>
      <c r="G70" s="6"/>
      <c r="H70">
        <v>45</v>
      </c>
      <c r="K70" t="s">
        <v>165</v>
      </c>
      <c r="L70" s="1">
        <f>IF($B$2="Escort",1,IF($B$2="Destroyer",1,2))</f>
        <v>2</v>
      </c>
      <c r="M70" s="1" t="s">
        <v>164</v>
      </c>
      <c r="N70" s="1">
        <v>7</v>
      </c>
      <c r="O70" s="1" t="s">
        <v>28</v>
      </c>
      <c r="P70" s="13" t="s">
        <v>130</v>
      </c>
      <c r="R70" t="s">
        <v>168</v>
      </c>
      <c r="S70" s="1" t="s">
        <v>167</v>
      </c>
      <c r="T70" s="1">
        <v>3</v>
      </c>
      <c r="U70" s="1">
        <v>4</v>
      </c>
      <c r="V70" s="16" t="s">
        <v>166</v>
      </c>
      <c r="AE70" s="1">
        <v>67</v>
      </c>
      <c r="AF70" s="4" t="s">
        <v>97</v>
      </c>
      <c r="AG70" s="4" t="s">
        <v>96</v>
      </c>
      <c r="AH70" s="4" t="s">
        <v>28</v>
      </c>
      <c r="AJ70" s="29"/>
      <c r="AK70" s="1"/>
      <c r="AL70" s="28"/>
      <c r="AM70" s="1"/>
      <c r="AN70" s="1"/>
      <c r="AP70" s="13"/>
      <c r="AQ70" s="1">
        <v>67</v>
      </c>
      <c r="AR70" s="86" t="s">
        <v>833</v>
      </c>
      <c r="AS70" s="4" t="s">
        <v>28</v>
      </c>
      <c r="AX70" s="1"/>
    </row>
    <row r="71" spans="1:50" x14ac:dyDescent="0.2">
      <c r="A71" s="121" t="s">
        <v>60</v>
      </c>
      <c r="B71" s="7" t="str">
        <f>VLOOKUP(B66,$O$3:$T$22,5,FALSE)</f>
        <v xml:space="preserve"> </v>
      </c>
      <c r="C71" s="6"/>
      <c r="D71" s="6"/>
      <c r="E71" s="6"/>
      <c r="F71" s="6"/>
      <c r="G71" s="6"/>
      <c r="H71">
        <v>46</v>
      </c>
      <c r="K71" t="s">
        <v>46</v>
      </c>
      <c r="L71" s="1">
        <f>IF($B$2="Escort",1,IF($B$2="Destroyer",1,2))</f>
        <v>2</v>
      </c>
      <c r="M71" s="1" t="s">
        <v>160</v>
      </c>
      <c r="N71" s="1">
        <v>4</v>
      </c>
      <c r="O71" s="1" t="s">
        <v>20</v>
      </c>
      <c r="P71" s="13" t="s">
        <v>130</v>
      </c>
      <c r="R71" t="s">
        <v>163</v>
      </c>
      <c r="S71" s="1"/>
      <c r="T71" s="1"/>
      <c r="U71" s="1"/>
      <c r="V71" s="16"/>
      <c r="AE71" s="1">
        <v>68</v>
      </c>
      <c r="AF71" s="4" t="s">
        <v>97</v>
      </c>
      <c r="AG71" s="4" t="s">
        <v>96</v>
      </c>
      <c r="AH71" s="4" t="s">
        <v>28</v>
      </c>
      <c r="AJ71" s="29"/>
      <c r="AK71" s="1"/>
      <c r="AL71" s="28"/>
      <c r="AM71" s="1"/>
      <c r="AN71" s="1"/>
      <c r="AP71" s="13"/>
      <c r="AQ71" s="1">
        <v>68</v>
      </c>
      <c r="AR71" s="86" t="s">
        <v>833</v>
      </c>
      <c r="AS71" s="4" t="s">
        <v>28</v>
      </c>
      <c r="AX71" s="1"/>
    </row>
    <row r="72" spans="1:50" x14ac:dyDescent="0.2">
      <c r="A72" s="92"/>
      <c r="B72" s="7" t="str">
        <f>VLOOKUP(B66,$O$3:$T$22,6,FALSE)</f>
        <v xml:space="preserve"> </v>
      </c>
      <c r="C72" s="6"/>
      <c r="D72" s="6"/>
      <c r="E72" s="6"/>
      <c r="F72" s="6"/>
      <c r="G72" s="6"/>
      <c r="H72">
        <v>47</v>
      </c>
      <c r="K72" t="s">
        <v>157</v>
      </c>
      <c r="L72" s="1">
        <f>IF($B$2="Escort",2,IF($B$2="Destroyer",2,3))</f>
        <v>3</v>
      </c>
      <c r="M72" s="1" t="s">
        <v>150</v>
      </c>
      <c r="N72" s="1">
        <v>5</v>
      </c>
      <c r="O72" s="1" t="s">
        <v>0</v>
      </c>
      <c r="P72" s="13" t="s">
        <v>130</v>
      </c>
      <c r="R72" t="s">
        <v>159</v>
      </c>
      <c r="S72" s="1" t="s">
        <v>158</v>
      </c>
      <c r="T72" s="1">
        <v>2</v>
      </c>
      <c r="U72" s="1">
        <v>4</v>
      </c>
      <c r="V72" s="16" t="s">
        <v>147</v>
      </c>
      <c r="AE72" s="1">
        <v>69</v>
      </c>
      <c r="AF72" s="4" t="s">
        <v>97</v>
      </c>
      <c r="AG72" s="4" t="s">
        <v>96</v>
      </c>
      <c r="AH72" s="4" t="s">
        <v>28</v>
      </c>
      <c r="AJ72" s="29"/>
      <c r="AK72" s="1"/>
      <c r="AL72" s="28"/>
      <c r="AM72" s="1"/>
      <c r="AN72" s="1"/>
      <c r="AP72" s="13"/>
      <c r="AQ72" s="1">
        <v>69</v>
      </c>
      <c r="AR72" s="86" t="s">
        <v>833</v>
      </c>
      <c r="AS72" s="4" t="s">
        <v>28</v>
      </c>
      <c r="AX72" s="1"/>
    </row>
    <row r="73" spans="1:50" x14ac:dyDescent="0.2">
      <c r="A73" s="92"/>
      <c r="B73" s="15"/>
      <c r="C73" s="6"/>
      <c r="D73" s="6"/>
      <c r="E73" s="6"/>
      <c r="F73" s="6"/>
      <c r="G73" s="6"/>
      <c r="H73">
        <v>48</v>
      </c>
      <c r="K73" t="s">
        <v>151</v>
      </c>
      <c r="L73" s="1">
        <f>IF($B$2="Escort",2,IF($B$2="Destroyer",2,3))</f>
        <v>3</v>
      </c>
      <c r="M73" s="1" t="s">
        <v>150</v>
      </c>
      <c r="N73" s="1">
        <v>7</v>
      </c>
      <c r="O73" s="1" t="s">
        <v>28</v>
      </c>
      <c r="P73" s="13" t="s">
        <v>130</v>
      </c>
      <c r="R73" t="s">
        <v>156</v>
      </c>
      <c r="S73" s="1" t="s">
        <v>155</v>
      </c>
      <c r="T73" s="1">
        <v>2</v>
      </c>
      <c r="U73" s="1">
        <v>3</v>
      </c>
      <c r="V73" s="16" t="s">
        <v>147</v>
      </c>
      <c r="AE73" s="1">
        <v>70</v>
      </c>
      <c r="AF73" s="4" t="s">
        <v>97</v>
      </c>
      <c r="AG73" s="4" t="s">
        <v>96</v>
      </c>
      <c r="AH73" s="4" t="s">
        <v>28</v>
      </c>
      <c r="AJ73" s="29"/>
      <c r="AK73" s="1"/>
      <c r="AL73" s="28"/>
      <c r="AM73" s="1"/>
      <c r="AN73" s="1"/>
      <c r="AP73" s="13"/>
      <c r="AQ73" s="1">
        <v>70</v>
      </c>
      <c r="AR73" s="86" t="s">
        <v>833</v>
      </c>
      <c r="AS73" s="4" t="s">
        <v>28</v>
      </c>
      <c r="AX73" s="1"/>
    </row>
    <row r="74" spans="1:50" x14ac:dyDescent="0.2">
      <c r="A74" s="121" t="s">
        <v>881</v>
      </c>
      <c r="B74" s="110" t="str">
        <f>IF(B66="FL-1, FL-2, FL-3", VLOOKUP(B68,$AW$2:$AZ$54,2,FALSE),IF(B66="FL-4, FL-5, FL-6",VLOOKUP(B68,$AW$2:$AZ$54,2,FALSE),VLOOKUP(B68,$AE$2:$AH$113,2,FALSE)))</f>
        <v xml:space="preserve"> </v>
      </c>
      <c r="C74" s="107" t="str">
        <f>IF(B74=" "," ","Reference Value Only")</f>
        <v xml:space="preserve"> </v>
      </c>
      <c r="D74" s="6"/>
      <c r="E74" s="6"/>
      <c r="F74" s="6"/>
      <c r="G74" s="6"/>
      <c r="H74">
        <v>49</v>
      </c>
      <c r="K74" t="s">
        <v>44</v>
      </c>
      <c r="L74" s="1">
        <f>IF($B$2="Escort",2,IF($B$2="Destroyer",2,3))</f>
        <v>3</v>
      </c>
      <c r="M74" s="1" t="s">
        <v>138</v>
      </c>
      <c r="N74" s="1">
        <v>4</v>
      </c>
      <c r="O74" s="1" t="s">
        <v>20</v>
      </c>
      <c r="P74" s="13" t="s">
        <v>130</v>
      </c>
      <c r="R74" t="s">
        <v>149</v>
      </c>
      <c r="S74" s="1" t="s">
        <v>148</v>
      </c>
      <c r="T74" s="1">
        <v>3</v>
      </c>
      <c r="U74" s="1">
        <v>4</v>
      </c>
      <c r="V74" s="16" t="s">
        <v>147</v>
      </c>
      <c r="AE74" s="1">
        <v>71</v>
      </c>
      <c r="AF74" s="4" t="s">
        <v>97</v>
      </c>
      <c r="AG74" s="4" t="s">
        <v>96</v>
      </c>
      <c r="AH74" s="4" t="s">
        <v>28</v>
      </c>
      <c r="AJ74" s="29"/>
      <c r="AK74" s="1"/>
      <c r="AL74" s="28"/>
      <c r="AM74" s="1"/>
      <c r="AN74" s="1"/>
      <c r="AP74" s="13"/>
      <c r="AQ74" s="1">
        <v>71</v>
      </c>
      <c r="AR74" s="86" t="s">
        <v>833</v>
      </c>
      <c r="AS74" s="4" t="s">
        <v>28</v>
      </c>
      <c r="AX74" s="1"/>
    </row>
    <row r="75" spans="1:50" x14ac:dyDescent="0.2">
      <c r="A75" s="121" t="s">
        <v>882</v>
      </c>
      <c r="B75" s="110" t="str">
        <f>IF(B66="FL-1, FL-2, FL-3", VLOOKUP(B68,$AW$2:$AZ$54,4,FALSE),IF(B66="FL-4, FL-5, FL-6",VLOOKUP(B68,$AW$2:$AZ$54,4,FALSE),VLOOKUP(B68,$AE$2:$AH$113,4,FALSE)))</f>
        <v xml:space="preserve"> </v>
      </c>
      <c r="C75" s="9" t="str">
        <f>IF(B75=" "," ","Reference Value Only")</f>
        <v xml:space="preserve"> </v>
      </c>
      <c r="D75" s="15"/>
      <c r="E75" s="6"/>
      <c r="F75" s="6"/>
      <c r="G75" s="6"/>
      <c r="H75">
        <v>50</v>
      </c>
      <c r="K75" t="s">
        <v>142</v>
      </c>
      <c r="L75" s="1">
        <f>IF($B$2="Escort",3,IF($B$2="Destroyer",3,4))</f>
        <v>4</v>
      </c>
      <c r="M75" s="1" t="s">
        <v>138</v>
      </c>
      <c r="N75" s="1">
        <v>8</v>
      </c>
      <c r="O75" s="1" t="s">
        <v>20</v>
      </c>
      <c r="P75" s="13" t="s">
        <v>130</v>
      </c>
      <c r="R75" t="s">
        <v>145</v>
      </c>
      <c r="S75" s="1"/>
      <c r="T75" s="1"/>
      <c r="U75" s="1"/>
      <c r="V75" s="16"/>
      <c r="AE75" s="1">
        <v>72</v>
      </c>
      <c r="AF75" s="4" t="s">
        <v>97</v>
      </c>
      <c r="AG75" s="4" t="s">
        <v>96</v>
      </c>
      <c r="AH75" s="4" t="s">
        <v>28</v>
      </c>
      <c r="AJ75" s="29"/>
      <c r="AK75" s="1"/>
      <c r="AL75" s="28"/>
      <c r="AM75" s="1"/>
      <c r="AN75" s="1"/>
      <c r="AP75" s="13"/>
      <c r="AQ75" s="1">
        <v>72</v>
      </c>
      <c r="AR75" s="86" t="s">
        <v>833</v>
      </c>
      <c r="AS75" s="4" t="s">
        <v>28</v>
      </c>
      <c r="AX75" s="1"/>
    </row>
    <row r="76" spans="1:50" x14ac:dyDescent="0.2">
      <c r="A76" s="92"/>
      <c r="B76" s="15"/>
      <c r="C76" s="6"/>
      <c r="D76" s="6"/>
      <c r="E76" s="108"/>
      <c r="F76" s="108"/>
      <c r="G76" s="108"/>
      <c r="K76" t="s">
        <v>41</v>
      </c>
      <c r="L76" s="1">
        <f>IF($B$2="Escort",4,IF($B$2="Destroyer",4,5))</f>
        <v>5</v>
      </c>
      <c r="M76" s="1" t="s">
        <v>138</v>
      </c>
      <c r="N76" s="1">
        <v>9</v>
      </c>
      <c r="O76" s="1" t="s">
        <v>28</v>
      </c>
      <c r="P76" s="13" t="s">
        <v>130</v>
      </c>
      <c r="R76" t="s">
        <v>141</v>
      </c>
      <c r="S76" s="1" t="s">
        <v>140</v>
      </c>
      <c r="T76" s="1">
        <v>2</v>
      </c>
      <c r="U76" s="1">
        <v>4</v>
      </c>
      <c r="V76" s="16" t="s">
        <v>125</v>
      </c>
      <c r="AE76" s="1">
        <v>73</v>
      </c>
      <c r="AF76" s="4" t="s">
        <v>97</v>
      </c>
      <c r="AG76" s="4" t="s">
        <v>96</v>
      </c>
      <c r="AH76" s="4" t="s">
        <v>28</v>
      </c>
      <c r="AJ76" s="29"/>
      <c r="AK76" s="1"/>
      <c r="AL76" s="28"/>
      <c r="AM76" s="1"/>
      <c r="AN76" s="1"/>
      <c r="AP76" s="13"/>
      <c r="AQ76" s="1">
        <v>73</v>
      </c>
      <c r="AR76" s="86" t="s">
        <v>833</v>
      </c>
      <c r="AS76" s="4" t="s">
        <v>28</v>
      </c>
      <c r="AX76" s="1"/>
    </row>
    <row r="77" spans="1:50" x14ac:dyDescent="0.2">
      <c r="A77" s="121" t="s">
        <v>884</v>
      </c>
      <c r="B77" s="7" t="str">
        <f>VLOOKUP(H78,AE3:AH113,2)</f>
        <v>4/4/4/0/0</v>
      </c>
      <c r="C77" s="6"/>
      <c r="D77" s="6"/>
      <c r="E77" s="6"/>
      <c r="F77" s="6"/>
      <c r="G77" s="6"/>
      <c r="H77" s="100" t="s">
        <v>885</v>
      </c>
      <c r="K77" t="s">
        <v>26</v>
      </c>
      <c r="L77" s="1">
        <f>IF($B$2="Escort",5,IF($B$2="Destroyer",5,6))</f>
        <v>6</v>
      </c>
      <c r="M77" s="1" t="s">
        <v>135</v>
      </c>
      <c r="N77" s="1">
        <v>10</v>
      </c>
      <c r="O77" s="1" t="s">
        <v>28</v>
      </c>
      <c r="P77" s="13" t="s">
        <v>130</v>
      </c>
      <c r="R77" t="s">
        <v>137</v>
      </c>
      <c r="S77" s="1" t="s">
        <v>136</v>
      </c>
      <c r="T77" s="1">
        <v>3</v>
      </c>
      <c r="U77" s="1">
        <v>6</v>
      </c>
      <c r="V77" s="16" t="s">
        <v>125</v>
      </c>
      <c r="AE77" s="1">
        <v>74</v>
      </c>
      <c r="AF77" s="4" t="s">
        <v>97</v>
      </c>
      <c r="AG77" s="4" t="s">
        <v>96</v>
      </c>
      <c r="AH77" s="4" t="s">
        <v>28</v>
      </c>
      <c r="AJ77" s="29"/>
      <c r="AK77" s="1"/>
      <c r="AL77" s="28"/>
      <c r="AM77" s="1"/>
      <c r="AN77" s="1"/>
      <c r="AP77" s="13"/>
      <c r="AQ77" s="1">
        <v>74</v>
      </c>
      <c r="AR77" s="86" t="s">
        <v>833</v>
      </c>
      <c r="AS77" s="4" t="s">
        <v>28</v>
      </c>
      <c r="AX77" s="1"/>
    </row>
    <row r="78" spans="1:50" x14ac:dyDescent="0.2">
      <c r="A78" s="121" t="s">
        <v>896</v>
      </c>
      <c r="B78" s="7" t="str">
        <f>VLOOKUP(H78,AE3:AH113,4)</f>
        <v>B</v>
      </c>
      <c r="C78" s="6"/>
      <c r="D78" s="6"/>
      <c r="E78" s="6"/>
      <c r="F78" s="6"/>
      <c r="G78" s="6"/>
      <c r="H78">
        <f>B56+B68</f>
        <v>16</v>
      </c>
      <c r="K78" t="s">
        <v>17</v>
      </c>
      <c r="L78" s="1">
        <f>IF($B$2="Escort",6,IF($B$2="Destroyer",6,7))</f>
        <v>7</v>
      </c>
      <c r="M78" s="1" t="s">
        <v>131</v>
      </c>
      <c r="N78" s="1">
        <v>10</v>
      </c>
      <c r="O78" s="1" t="s">
        <v>0</v>
      </c>
      <c r="P78" s="13" t="s">
        <v>130</v>
      </c>
      <c r="S78" s="1"/>
      <c r="T78" s="1"/>
      <c r="U78" s="1"/>
      <c r="V78" s="16"/>
      <c r="AE78" s="17">
        <v>75</v>
      </c>
      <c r="AF78" s="23" t="s">
        <v>34</v>
      </c>
      <c r="AG78" s="2" t="s">
        <v>33</v>
      </c>
      <c r="AH78" s="2" t="s">
        <v>0</v>
      </c>
      <c r="AJ78" s="29"/>
      <c r="AK78" s="1"/>
      <c r="AL78" s="28"/>
      <c r="AM78" s="1"/>
      <c r="AN78" s="1"/>
      <c r="AP78" s="13"/>
      <c r="AQ78" s="17">
        <v>75</v>
      </c>
      <c r="AR78" s="23" t="s">
        <v>834</v>
      </c>
      <c r="AS78" s="2" t="s">
        <v>0</v>
      </c>
      <c r="AX78" s="1"/>
    </row>
    <row r="79" spans="1:50" x14ac:dyDescent="0.2">
      <c r="A79" s="92"/>
      <c r="B79" s="6"/>
      <c r="C79" s="6"/>
      <c r="D79" s="6"/>
      <c r="E79" s="6"/>
      <c r="F79" s="6"/>
      <c r="G79" s="6"/>
      <c r="I79" t="str">
        <f>IF(($B$8*0.25)&gt;=15,15,"Min. 5 Structure Needed; Max. 25%")</f>
        <v>Min. 5 Structure Needed; Max. 25%</v>
      </c>
      <c r="K79" s="26" t="s">
        <v>123</v>
      </c>
      <c r="R79" t="s">
        <v>134</v>
      </c>
      <c r="S79" s="1" t="s">
        <v>133</v>
      </c>
      <c r="T79" s="1">
        <v>3</v>
      </c>
      <c r="U79" s="1">
        <v>6</v>
      </c>
      <c r="V79" s="16" t="s">
        <v>125</v>
      </c>
      <c r="AE79" s="1">
        <v>76</v>
      </c>
      <c r="AF79" s="18" t="s">
        <v>34</v>
      </c>
      <c r="AG79" s="4" t="s">
        <v>33</v>
      </c>
      <c r="AH79" s="4" t="s">
        <v>0</v>
      </c>
      <c r="AJ79" s="14"/>
      <c r="AP79" s="13" t="s">
        <v>113</v>
      </c>
      <c r="AQ79" s="1">
        <v>76</v>
      </c>
      <c r="AR79" s="87" t="s">
        <v>834</v>
      </c>
      <c r="AS79" s="4" t="s">
        <v>0</v>
      </c>
      <c r="AX79" s="1"/>
    </row>
    <row r="80" spans="1:50" x14ac:dyDescent="0.2">
      <c r="A80" s="117" t="s">
        <v>900</v>
      </c>
      <c r="B80" s="117"/>
      <c r="C80" s="117"/>
      <c r="D80" s="117"/>
      <c r="E80" s="5"/>
      <c r="F80" s="5"/>
      <c r="G80" s="5"/>
      <c r="H80" s="100" t="s">
        <v>894</v>
      </c>
      <c r="J80" s="13"/>
      <c r="K80" t="s">
        <v>117</v>
      </c>
      <c r="L80" t="s">
        <v>47</v>
      </c>
      <c r="M80" t="s">
        <v>116</v>
      </c>
      <c r="N80" t="s">
        <v>115</v>
      </c>
      <c r="O80" t="s">
        <v>113</v>
      </c>
      <c r="R80" t="s">
        <v>129</v>
      </c>
      <c r="S80" s="1" t="s">
        <v>128</v>
      </c>
      <c r="T80" s="1">
        <v>4</v>
      </c>
      <c r="U80" s="1">
        <v>7</v>
      </c>
      <c r="V80" s="16" t="s">
        <v>125</v>
      </c>
      <c r="AE80" s="1">
        <v>77</v>
      </c>
      <c r="AF80" s="18" t="s">
        <v>34</v>
      </c>
      <c r="AG80" s="4" t="s">
        <v>33</v>
      </c>
      <c r="AH80" s="4" t="s">
        <v>0</v>
      </c>
      <c r="AJ80" s="14"/>
      <c r="AP80" s="13" t="s">
        <v>113</v>
      </c>
      <c r="AQ80" s="1">
        <v>77</v>
      </c>
      <c r="AR80" s="87" t="s">
        <v>834</v>
      </c>
      <c r="AS80" s="4" t="s">
        <v>0</v>
      </c>
      <c r="AX80" s="1"/>
    </row>
    <row r="81" spans="1:50" x14ac:dyDescent="0.2">
      <c r="A81" s="121" t="s">
        <v>898</v>
      </c>
      <c r="B81" s="81" t="s">
        <v>745</v>
      </c>
      <c r="C81" s="121" t="s">
        <v>152</v>
      </c>
      <c r="D81" s="1">
        <v>2</v>
      </c>
      <c r="E81" s="6"/>
      <c r="F81" s="6"/>
      <c r="G81" s="6"/>
      <c r="H81">
        <f>B83+B93</f>
        <v>6</v>
      </c>
      <c r="K81" t="s">
        <v>10</v>
      </c>
      <c r="L81" s="1"/>
      <c r="M81" s="1">
        <v>0</v>
      </c>
      <c r="N81" s="1">
        <v>0</v>
      </c>
      <c r="O81" s="4" t="s">
        <v>113</v>
      </c>
      <c r="P81" t="s">
        <v>113</v>
      </c>
      <c r="R81" t="s">
        <v>127</v>
      </c>
      <c r="S81" s="1" t="s">
        <v>126</v>
      </c>
      <c r="T81" s="1">
        <v>8</v>
      </c>
      <c r="U81" s="1" t="s">
        <v>121</v>
      </c>
      <c r="V81" s="16" t="s">
        <v>125</v>
      </c>
      <c r="AE81" s="1">
        <v>78</v>
      </c>
      <c r="AF81" s="18" t="s">
        <v>34</v>
      </c>
      <c r="AG81" s="4" t="s">
        <v>33</v>
      </c>
      <c r="AH81" s="4" t="s">
        <v>0</v>
      </c>
      <c r="AJ81" s="14"/>
      <c r="AP81" s="13" t="s">
        <v>113</v>
      </c>
      <c r="AQ81" s="1">
        <v>78</v>
      </c>
      <c r="AR81" s="87" t="s">
        <v>834</v>
      </c>
      <c r="AS81" s="4" t="s">
        <v>0</v>
      </c>
      <c r="AX81" s="1"/>
    </row>
    <row r="82" spans="1:50" x14ac:dyDescent="0.2">
      <c r="A82" s="121" t="s">
        <v>79</v>
      </c>
      <c r="B82" s="7">
        <f>D82*D81</f>
        <v>2</v>
      </c>
      <c r="C82" s="121" t="s">
        <v>146</v>
      </c>
      <c r="D82" s="7">
        <f>VLOOKUP(B81,$O$25:$T$40,2,FALSE)</f>
        <v>1</v>
      </c>
      <c r="E82" s="6"/>
      <c r="F82" s="6"/>
      <c r="G82" s="6"/>
      <c r="J82" s="24"/>
      <c r="K82" t="s">
        <v>109</v>
      </c>
      <c r="L82" s="1"/>
      <c r="M82" s="1"/>
      <c r="N82" s="1"/>
      <c r="O82" s="1"/>
      <c r="R82" t="s">
        <v>122</v>
      </c>
      <c r="S82" s="1"/>
      <c r="T82" s="1">
        <v>5</v>
      </c>
      <c r="U82" s="1" t="s">
        <v>121</v>
      </c>
      <c r="V82" s="16" t="s">
        <v>120</v>
      </c>
      <c r="AE82" s="1">
        <v>79</v>
      </c>
      <c r="AF82" s="18" t="s">
        <v>34</v>
      </c>
      <c r="AG82" s="4" t="s">
        <v>33</v>
      </c>
      <c r="AH82" s="4" t="s">
        <v>0</v>
      </c>
      <c r="AJ82" s="14"/>
      <c r="AO82" s="1"/>
      <c r="AP82" s="13" t="s">
        <v>113</v>
      </c>
      <c r="AQ82" s="1">
        <v>79</v>
      </c>
      <c r="AR82" s="87" t="s">
        <v>834</v>
      </c>
      <c r="AS82" s="4" t="s">
        <v>0</v>
      </c>
      <c r="AX82" s="1"/>
    </row>
    <row r="83" spans="1:50" x14ac:dyDescent="0.2">
      <c r="A83" s="121" t="s">
        <v>144</v>
      </c>
      <c r="B83" s="7">
        <f>D83*D81</f>
        <v>6</v>
      </c>
      <c r="C83" s="121" t="s">
        <v>143</v>
      </c>
      <c r="D83" s="7">
        <f>VLOOKUP(B81,$O$25:$T$40,3,FALSE)</f>
        <v>3</v>
      </c>
      <c r="E83" s="6"/>
      <c r="F83" s="6"/>
      <c r="G83" s="6"/>
      <c r="J83" s="20"/>
      <c r="K83" s="13" t="s">
        <v>756</v>
      </c>
      <c r="L83" s="1">
        <f>ROUNDDOWN(($B$5/2),0)</f>
        <v>2</v>
      </c>
      <c r="M83" s="16" t="s">
        <v>104</v>
      </c>
      <c r="N83" s="1">
        <v>2</v>
      </c>
      <c r="O83" s="1" t="s">
        <v>53</v>
      </c>
      <c r="P83" s="13" t="s">
        <v>15</v>
      </c>
      <c r="R83" t="s">
        <v>114</v>
      </c>
      <c r="S83" s="1"/>
      <c r="T83" s="1"/>
      <c r="U83" s="1"/>
      <c r="V83" s="16"/>
      <c r="AE83" s="1">
        <v>80</v>
      </c>
      <c r="AF83" s="18" t="s">
        <v>34</v>
      </c>
      <c r="AG83" s="4" t="s">
        <v>33</v>
      </c>
      <c r="AH83" s="4" t="s">
        <v>0</v>
      </c>
      <c r="AJ83" s="14"/>
      <c r="AO83" s="27" t="s">
        <v>113</v>
      </c>
      <c r="AP83" s="13" t="s">
        <v>113</v>
      </c>
      <c r="AQ83" s="1">
        <v>80</v>
      </c>
      <c r="AR83" s="87" t="s">
        <v>834</v>
      </c>
      <c r="AS83" s="4" t="s">
        <v>0</v>
      </c>
      <c r="AX83" s="1"/>
    </row>
    <row r="84" spans="1:50" x14ac:dyDescent="0.2">
      <c r="A84" s="121" t="s">
        <v>139</v>
      </c>
      <c r="B84" s="7">
        <f>VLOOKUP(B81,$O$25:$T$40,4,FALSE)</f>
        <v>2</v>
      </c>
      <c r="C84" s="107" t="str">
        <f>IF(B84&gt;$B$5,"Weapon Too Large for Ship Size","Meets Min. Ship Size Restriction")</f>
        <v>Meets Min. Ship Size Restriction</v>
      </c>
      <c r="D84" s="15"/>
      <c r="E84" s="6"/>
      <c r="F84" s="6"/>
      <c r="G84" s="6"/>
      <c r="J84" s="20"/>
      <c r="K84" s="116" t="s">
        <v>937</v>
      </c>
      <c r="L84" s="1">
        <f>ROUNDDOWN(($B$5/2),0)</f>
        <v>2</v>
      </c>
      <c r="M84" s="16" t="s">
        <v>100</v>
      </c>
      <c r="N84" s="1">
        <v>4</v>
      </c>
      <c r="O84" s="1" t="s">
        <v>39</v>
      </c>
      <c r="P84" s="13" t="s">
        <v>15</v>
      </c>
      <c r="R84" t="s">
        <v>112</v>
      </c>
      <c r="S84" s="1" t="s">
        <v>111</v>
      </c>
      <c r="T84" s="1">
        <v>4</v>
      </c>
      <c r="U84" s="1">
        <v>6</v>
      </c>
      <c r="V84" s="16" t="s">
        <v>69</v>
      </c>
      <c r="AE84" s="1">
        <v>81</v>
      </c>
      <c r="AF84" s="18" t="s">
        <v>34</v>
      </c>
      <c r="AG84" s="4" t="s">
        <v>33</v>
      </c>
      <c r="AH84" s="4" t="s">
        <v>0</v>
      </c>
      <c r="AJ84" s="14"/>
      <c r="AQ84" s="1">
        <v>81</v>
      </c>
      <c r="AR84" s="87" t="s">
        <v>834</v>
      </c>
      <c r="AS84" s="4" t="s">
        <v>0</v>
      </c>
      <c r="AX84" s="1"/>
    </row>
    <row r="85" spans="1:50" x14ac:dyDescent="0.2">
      <c r="A85" s="121" t="s">
        <v>60</v>
      </c>
      <c r="B85" s="7" t="str">
        <f>VLOOKUP(B81,$O$25:$T$40,5,FALSE)</f>
        <v xml:space="preserve"> </v>
      </c>
      <c r="C85" s="6"/>
      <c r="D85" s="6"/>
      <c r="E85" s="6"/>
      <c r="F85" s="6"/>
      <c r="G85" s="6"/>
      <c r="J85" s="20"/>
      <c r="K85" s="13" t="s">
        <v>757</v>
      </c>
      <c r="L85" s="1">
        <f>ROUNDDOWN((($B$5/2)+1),0)</f>
        <v>3</v>
      </c>
      <c r="M85" s="16" t="s">
        <v>93</v>
      </c>
      <c r="N85" s="1">
        <v>6</v>
      </c>
      <c r="O85" s="1" t="s">
        <v>39</v>
      </c>
      <c r="P85" s="13" t="s">
        <v>15</v>
      </c>
      <c r="R85" t="s">
        <v>108</v>
      </c>
      <c r="S85" s="1" t="s">
        <v>107</v>
      </c>
      <c r="T85" s="1">
        <v>2</v>
      </c>
      <c r="U85" s="1">
        <v>2</v>
      </c>
      <c r="V85" s="16" t="s">
        <v>69</v>
      </c>
      <c r="AE85" s="1">
        <v>82</v>
      </c>
      <c r="AF85" s="18" t="s">
        <v>34</v>
      </c>
      <c r="AG85" s="4" t="s">
        <v>33</v>
      </c>
      <c r="AH85" s="4" t="s">
        <v>0</v>
      </c>
      <c r="AJ85" s="14"/>
      <c r="AQ85" s="1">
        <v>82</v>
      </c>
      <c r="AR85" s="87" t="s">
        <v>834</v>
      </c>
      <c r="AS85" s="4" t="s">
        <v>0</v>
      </c>
      <c r="AX85" s="1"/>
    </row>
    <row r="86" spans="1:50" x14ac:dyDescent="0.2">
      <c r="A86" s="121"/>
      <c r="B86" s="7" t="str">
        <f>VLOOKUP(B81,$O$25:$T$40,6,FALSE)</f>
        <v>Cruisers pay -1 (min. 1)</v>
      </c>
      <c r="C86" s="6"/>
      <c r="D86" s="6"/>
      <c r="E86" s="6"/>
      <c r="F86" s="6"/>
      <c r="G86" s="6"/>
      <c r="J86" s="20"/>
      <c r="K86" s="13" t="s">
        <v>758</v>
      </c>
      <c r="L86" s="1">
        <f>ROUNDDOWN((($B$5/2)+2),0)</f>
        <v>4</v>
      </c>
      <c r="M86" s="16" t="s">
        <v>88</v>
      </c>
      <c r="N86" s="1">
        <v>5</v>
      </c>
      <c r="O86" s="1" t="s">
        <v>20</v>
      </c>
      <c r="P86" s="13" t="s">
        <v>15</v>
      </c>
      <c r="R86" t="s">
        <v>103</v>
      </c>
      <c r="S86" s="1" t="s">
        <v>102</v>
      </c>
      <c r="T86" s="1">
        <v>1</v>
      </c>
      <c r="U86" s="1">
        <v>2</v>
      </c>
      <c r="V86" s="16" t="s">
        <v>69</v>
      </c>
      <c r="AE86" s="1">
        <v>83</v>
      </c>
      <c r="AF86" s="18" t="s">
        <v>34</v>
      </c>
      <c r="AG86" s="4" t="s">
        <v>33</v>
      </c>
      <c r="AH86" s="4" t="s">
        <v>0</v>
      </c>
      <c r="AJ86" s="14"/>
      <c r="AQ86" s="1">
        <v>83</v>
      </c>
      <c r="AR86" s="87" t="s">
        <v>834</v>
      </c>
      <c r="AS86" s="4" t="s">
        <v>0</v>
      </c>
      <c r="AX86" s="1"/>
    </row>
    <row r="87" spans="1:50" x14ac:dyDescent="0.2">
      <c r="A87" s="121"/>
      <c r="B87" s="15"/>
      <c r="C87" s="6"/>
      <c r="D87" s="6"/>
      <c r="E87" s="6"/>
      <c r="F87" s="6"/>
      <c r="G87" s="6"/>
      <c r="J87" s="20"/>
      <c r="K87" s="22" t="s">
        <v>759</v>
      </c>
      <c r="L87" s="1">
        <f>ROUNDDOWN((($B$5/2)+3),0)</f>
        <v>5</v>
      </c>
      <c r="M87" s="16" t="s">
        <v>82</v>
      </c>
      <c r="N87" s="1">
        <v>7</v>
      </c>
      <c r="O87" s="1" t="s">
        <v>20</v>
      </c>
      <c r="P87" s="13" t="s">
        <v>15</v>
      </c>
      <c r="R87" t="s">
        <v>99</v>
      </c>
      <c r="S87" s="1" t="s">
        <v>98</v>
      </c>
      <c r="T87" s="1">
        <v>1</v>
      </c>
      <c r="U87" s="1">
        <v>2</v>
      </c>
      <c r="V87" s="16" t="s">
        <v>69</v>
      </c>
      <c r="AE87" s="1">
        <v>84</v>
      </c>
      <c r="AF87" s="18" t="s">
        <v>34</v>
      </c>
      <c r="AG87" s="4" t="s">
        <v>33</v>
      </c>
      <c r="AH87" s="4" t="s">
        <v>0</v>
      </c>
      <c r="AJ87" s="14"/>
      <c r="AQ87" s="1">
        <v>84</v>
      </c>
      <c r="AR87" s="87" t="s">
        <v>834</v>
      </c>
      <c r="AS87" s="4" t="s">
        <v>0</v>
      </c>
      <c r="AX87" s="1"/>
    </row>
    <row r="88" spans="1:50" x14ac:dyDescent="0.2">
      <c r="A88" s="121" t="s">
        <v>124</v>
      </c>
      <c r="B88" s="110" t="str">
        <f>IF($B$81="FAC-1, FAC-2", VLOOKUP(B83,$AW$2:$AZ$54,3,FALSE),IF(B81="FAC-3",VLOOKUP(B83,$AW$2:$AZ$54,3,FALSE),VLOOKUP(B83,$AE$2:$AH$113,3,FALSE)))</f>
        <v>3/3/3/3/3</v>
      </c>
      <c r="C88" s="107" t="str">
        <f>IF(B88=" "," ","Reference Value Only")</f>
        <v>Reference Value Only</v>
      </c>
      <c r="D88" s="6"/>
      <c r="E88" s="6"/>
      <c r="F88" s="6"/>
      <c r="G88" s="6"/>
      <c r="J88" s="20"/>
      <c r="K88" s="13" t="s">
        <v>760</v>
      </c>
      <c r="L88" s="1">
        <f>ROUNDDOWN((($B$5/2)+4),0)</f>
        <v>6</v>
      </c>
      <c r="M88" s="16" t="s">
        <v>43</v>
      </c>
      <c r="N88" s="1">
        <v>7</v>
      </c>
      <c r="O88" s="1" t="s">
        <v>20</v>
      </c>
      <c r="P88" s="13" t="s">
        <v>15</v>
      </c>
      <c r="R88" t="s">
        <v>92</v>
      </c>
      <c r="S88" s="1" t="s">
        <v>91</v>
      </c>
      <c r="T88" s="1">
        <v>5</v>
      </c>
      <c r="U88" s="1">
        <v>8</v>
      </c>
      <c r="V88" s="16" t="s">
        <v>69</v>
      </c>
      <c r="AE88" s="1">
        <v>85</v>
      </c>
      <c r="AF88" s="18" t="s">
        <v>34</v>
      </c>
      <c r="AG88" s="4" t="s">
        <v>33</v>
      </c>
      <c r="AH88" s="4" t="s">
        <v>0</v>
      </c>
      <c r="AJ88" s="14"/>
      <c r="AQ88" s="1">
        <v>85</v>
      </c>
      <c r="AR88" s="87" t="s">
        <v>834</v>
      </c>
      <c r="AS88" s="4" t="s">
        <v>0</v>
      </c>
      <c r="AX88" s="1"/>
    </row>
    <row r="89" spans="1:50" x14ac:dyDescent="0.2">
      <c r="A89" s="121" t="s">
        <v>886</v>
      </c>
      <c r="B89" s="110" t="str">
        <f>IF($B$81="FAC-1, FAC-2", VLOOKUP($B$83,$AW$2:$AZ$54,4,FALSE),IF($B$81="FAC-3",VLOOKUP($B$83,$AW$2:$AZ$54,4,FALSE),VLOOKUP($B$83,$AE$2:$AH$113,4,FALSE)))</f>
        <v>A</v>
      </c>
      <c r="C89" s="107" t="str">
        <f>IF(B89=" "," ","Reference Value Only")</f>
        <v>Reference Value Only</v>
      </c>
      <c r="D89" s="15"/>
      <c r="E89" s="6"/>
      <c r="F89" s="6"/>
      <c r="G89" s="6"/>
      <c r="J89" s="20"/>
      <c r="K89" s="13" t="s">
        <v>761</v>
      </c>
      <c r="L89" s="1">
        <f>ROUNDDOWN((($B$5/2)+4),0)</f>
        <v>6</v>
      </c>
      <c r="M89" s="16" t="s">
        <v>72</v>
      </c>
      <c r="N89" s="1">
        <v>6</v>
      </c>
      <c r="O89" s="1" t="s">
        <v>28</v>
      </c>
      <c r="P89" s="13" t="s">
        <v>15</v>
      </c>
      <c r="R89" t="s">
        <v>87</v>
      </c>
      <c r="S89" s="1" t="s">
        <v>86</v>
      </c>
      <c r="T89" s="1">
        <v>4</v>
      </c>
      <c r="U89" s="1">
        <v>7</v>
      </c>
      <c r="V89" s="16" t="s">
        <v>69</v>
      </c>
      <c r="AE89" s="1">
        <v>86</v>
      </c>
      <c r="AF89" s="18" t="s">
        <v>34</v>
      </c>
      <c r="AG89" s="4" t="s">
        <v>33</v>
      </c>
      <c r="AH89" s="4" t="s">
        <v>0</v>
      </c>
      <c r="AJ89" s="14"/>
      <c r="AQ89" s="1">
        <v>86</v>
      </c>
      <c r="AR89" s="87" t="s">
        <v>834</v>
      </c>
      <c r="AS89" s="4" t="s">
        <v>0</v>
      </c>
      <c r="AX89" s="1"/>
    </row>
    <row r="90" spans="1:50" x14ac:dyDescent="0.2">
      <c r="A90" s="121"/>
      <c r="B90" s="93"/>
      <c r="C90" s="93"/>
      <c r="D90" s="15"/>
      <c r="E90" s="6"/>
      <c r="F90" s="6"/>
      <c r="G90" s="6"/>
      <c r="J90" s="20"/>
      <c r="K90" s="13" t="s">
        <v>762</v>
      </c>
      <c r="L90" s="1">
        <f>ROUNDDOWN((($B$5/2)+5),0)</f>
        <v>7</v>
      </c>
      <c r="M90" s="16" t="s">
        <v>40</v>
      </c>
      <c r="N90" s="1">
        <v>10</v>
      </c>
      <c r="O90" s="1" t="s">
        <v>28</v>
      </c>
      <c r="P90" s="13" t="s">
        <v>15</v>
      </c>
      <c r="R90" t="s">
        <v>81</v>
      </c>
      <c r="S90" s="1" t="s">
        <v>80</v>
      </c>
      <c r="T90" s="1">
        <v>3</v>
      </c>
      <c r="U90" s="1">
        <v>6</v>
      </c>
      <c r="V90" s="16" t="s">
        <v>69</v>
      </c>
      <c r="AE90" s="1">
        <v>87</v>
      </c>
      <c r="AF90" s="18" t="s">
        <v>34</v>
      </c>
      <c r="AG90" s="4" t="s">
        <v>33</v>
      </c>
      <c r="AH90" s="4" t="s">
        <v>0</v>
      </c>
      <c r="AJ90" s="14"/>
      <c r="AQ90" s="1">
        <v>87</v>
      </c>
      <c r="AR90" s="87" t="s">
        <v>834</v>
      </c>
      <c r="AS90" s="4" t="s">
        <v>0</v>
      </c>
      <c r="AX90" s="1"/>
    </row>
    <row r="91" spans="1:50" x14ac:dyDescent="0.2">
      <c r="A91" s="121" t="s">
        <v>899</v>
      </c>
      <c r="B91" s="81" t="s">
        <v>10</v>
      </c>
      <c r="C91" s="121" t="s">
        <v>152</v>
      </c>
      <c r="D91" s="1">
        <v>2</v>
      </c>
      <c r="E91" s="6"/>
      <c r="F91" s="6"/>
      <c r="G91" s="6"/>
      <c r="J91" s="20"/>
      <c r="K91" s="13" t="s">
        <v>763</v>
      </c>
      <c r="L91" s="1">
        <f>ROUNDDOWN((($B$5/2)+6),0)</f>
        <v>8</v>
      </c>
      <c r="M91" s="16" t="s">
        <v>61</v>
      </c>
      <c r="N91" s="1">
        <v>8</v>
      </c>
      <c r="O91" s="1" t="s">
        <v>28</v>
      </c>
      <c r="P91" s="13" t="s">
        <v>15</v>
      </c>
      <c r="R91" t="s">
        <v>76</v>
      </c>
      <c r="S91" s="1" t="s">
        <v>75</v>
      </c>
      <c r="T91" s="1">
        <v>4</v>
      </c>
      <c r="U91" s="1">
        <v>7</v>
      </c>
      <c r="V91" s="16" t="s">
        <v>69</v>
      </c>
      <c r="AE91" s="1">
        <v>88</v>
      </c>
      <c r="AF91" s="18" t="s">
        <v>34</v>
      </c>
      <c r="AG91" s="4" t="s">
        <v>33</v>
      </c>
      <c r="AH91" s="4" t="s">
        <v>0</v>
      </c>
      <c r="AJ91" s="14"/>
      <c r="AQ91" s="1">
        <v>88</v>
      </c>
      <c r="AR91" s="87" t="s">
        <v>834</v>
      </c>
      <c r="AS91" s="4" t="s">
        <v>0</v>
      </c>
      <c r="AX91" s="1"/>
    </row>
    <row r="92" spans="1:50" x14ac:dyDescent="0.2">
      <c r="A92" s="121" t="s">
        <v>79</v>
      </c>
      <c r="B92" s="7">
        <f>D92*D91</f>
        <v>0</v>
      </c>
      <c r="C92" s="121" t="s">
        <v>146</v>
      </c>
      <c r="D92" s="7">
        <f>VLOOKUP(B91,$O$25:$T$40,2,FALSE)</f>
        <v>0</v>
      </c>
      <c r="E92" s="6"/>
      <c r="F92" s="6"/>
      <c r="G92" s="6"/>
      <c r="J92" s="20"/>
      <c r="K92" t="s">
        <v>58</v>
      </c>
      <c r="L92" s="1"/>
      <c r="M92" s="16"/>
      <c r="N92" s="1"/>
      <c r="O92" s="1"/>
      <c r="P92" s="13"/>
      <c r="R92" t="s">
        <v>71</v>
      </c>
      <c r="S92" s="1" t="s">
        <v>70</v>
      </c>
      <c r="T92" s="1">
        <v>3</v>
      </c>
      <c r="U92" s="1">
        <v>5</v>
      </c>
      <c r="V92" s="16" t="s">
        <v>69</v>
      </c>
      <c r="AE92" s="1">
        <v>89</v>
      </c>
      <c r="AF92" s="18" t="s">
        <v>34</v>
      </c>
      <c r="AG92" s="4" t="s">
        <v>33</v>
      </c>
      <c r="AH92" s="4" t="s">
        <v>0</v>
      </c>
      <c r="AJ92" s="14"/>
      <c r="AQ92" s="1">
        <v>89</v>
      </c>
      <c r="AR92" s="87" t="s">
        <v>834</v>
      </c>
      <c r="AS92" s="4" t="s">
        <v>0</v>
      </c>
      <c r="AX92" s="1"/>
    </row>
    <row r="93" spans="1:50" x14ac:dyDescent="0.2">
      <c r="A93" s="121" t="s">
        <v>144</v>
      </c>
      <c r="B93" s="7">
        <f>D93*D91</f>
        <v>0</v>
      </c>
      <c r="C93" s="121" t="s">
        <v>143</v>
      </c>
      <c r="D93" s="7">
        <f>VLOOKUP(B91,$O$25:$T$40,3,FALSE)</f>
        <v>0</v>
      </c>
      <c r="E93" s="6"/>
      <c r="F93" s="6"/>
      <c r="G93" s="6"/>
      <c r="J93" s="20"/>
      <c r="K93" t="s">
        <v>57</v>
      </c>
      <c r="L93" s="1">
        <v>1</v>
      </c>
      <c r="M93" s="16" t="s">
        <v>56</v>
      </c>
      <c r="N93" s="1">
        <v>2</v>
      </c>
      <c r="O93" s="1" t="s">
        <v>39</v>
      </c>
      <c r="P93" s="13" t="s">
        <v>15</v>
      </c>
      <c r="S93" s="1"/>
      <c r="T93" s="1"/>
      <c r="U93" s="1"/>
      <c r="V93" s="16"/>
      <c r="AE93" s="17">
        <v>90</v>
      </c>
      <c r="AF93" s="2" t="s">
        <v>5</v>
      </c>
      <c r="AG93" s="2" t="s">
        <v>4</v>
      </c>
      <c r="AH93" s="2" t="s">
        <v>0</v>
      </c>
      <c r="AJ93" s="14"/>
      <c r="AQ93" s="17">
        <v>90</v>
      </c>
      <c r="AR93" s="2" t="s">
        <v>835</v>
      </c>
      <c r="AS93" s="2" t="s">
        <v>0</v>
      </c>
      <c r="AX93" s="1"/>
    </row>
    <row r="94" spans="1:50" x14ac:dyDescent="0.2">
      <c r="A94" s="121" t="s">
        <v>139</v>
      </c>
      <c r="B94" s="7">
        <f>VLOOKUP(B91,$O$25:$T$40,4,FALSE)</f>
        <v>0</v>
      </c>
      <c r="C94" s="107" t="str">
        <f>IF(B94&gt;$B$5,"Weapon Too Large for Ship Size","Meets Min. Ship Size Restriction")</f>
        <v>Meets Min. Ship Size Restriction</v>
      </c>
      <c r="D94" s="15"/>
      <c r="E94" s="6"/>
      <c r="F94" s="6"/>
      <c r="G94" s="6"/>
      <c r="J94" s="20"/>
      <c r="K94" t="s">
        <v>55</v>
      </c>
      <c r="L94" s="1">
        <v>1</v>
      </c>
      <c r="M94" s="16" t="s">
        <v>54</v>
      </c>
      <c r="N94" s="1">
        <v>5</v>
      </c>
      <c r="O94" s="1" t="s">
        <v>53</v>
      </c>
      <c r="P94" s="13" t="s">
        <v>15</v>
      </c>
      <c r="S94" s="1"/>
      <c r="T94" s="1"/>
      <c r="U94" s="1"/>
      <c r="V94" s="16"/>
      <c r="AE94" s="1">
        <v>91</v>
      </c>
      <c r="AF94" s="4" t="s">
        <v>5</v>
      </c>
      <c r="AG94" s="4" t="s">
        <v>4</v>
      </c>
      <c r="AH94" s="4" t="s">
        <v>0</v>
      </c>
      <c r="AJ94" s="14"/>
      <c r="AQ94" s="1">
        <v>91</v>
      </c>
      <c r="AR94" s="86" t="s">
        <v>835</v>
      </c>
      <c r="AS94" s="4" t="s">
        <v>0</v>
      </c>
      <c r="AX94" s="1"/>
    </row>
    <row r="95" spans="1:50" x14ac:dyDescent="0.2">
      <c r="A95" s="121" t="s">
        <v>60</v>
      </c>
      <c r="B95" s="7" t="str">
        <f>VLOOKUP(B91,$O$25:$T$40,5,FALSE)</f>
        <v xml:space="preserve"> </v>
      </c>
      <c r="C95" s="6"/>
      <c r="D95" s="6"/>
      <c r="E95" s="6"/>
      <c r="F95" s="6"/>
      <c r="G95" s="6"/>
      <c r="J95" s="20"/>
      <c r="K95" t="s">
        <v>51</v>
      </c>
      <c r="L95" s="1">
        <f>IF($B$4="Fast Attack",1,IF($B$4="Light",1,IF($B$4="Light Cruiser",1,IF($B$4="Light Escort",1,IF($B$4="Fast Frigate",1,IF($B$4="Light Frigate",1,IF($B$4="Fast/Far Scout",1,2)))))))</f>
        <v>1</v>
      </c>
      <c r="M95" s="16" t="s">
        <v>50</v>
      </c>
      <c r="N95" s="1">
        <v>6</v>
      </c>
      <c r="O95" s="1" t="s">
        <v>39</v>
      </c>
      <c r="P95" s="13" t="s">
        <v>15</v>
      </c>
      <c r="S95" s="1"/>
      <c r="T95" s="1"/>
      <c r="U95" s="1"/>
      <c r="V95" s="16"/>
      <c r="AE95" s="1">
        <v>92</v>
      </c>
      <c r="AF95" s="4" t="s">
        <v>5</v>
      </c>
      <c r="AG95" s="4" t="s">
        <v>4</v>
      </c>
      <c r="AH95" s="4" t="s">
        <v>0</v>
      </c>
      <c r="AJ95" s="14"/>
      <c r="AQ95" s="1">
        <v>92</v>
      </c>
      <c r="AR95" s="86" t="s">
        <v>835</v>
      </c>
      <c r="AS95" s="4" t="s">
        <v>0</v>
      </c>
      <c r="AX95" s="1"/>
    </row>
    <row r="96" spans="1:50" x14ac:dyDescent="0.2">
      <c r="A96" s="121"/>
      <c r="B96" s="7" t="str">
        <f>VLOOKUP(B91,$O$25:$T$40,6,FALSE)</f>
        <v xml:space="preserve"> </v>
      </c>
      <c r="C96" s="6"/>
      <c r="D96" s="6"/>
      <c r="E96" s="6"/>
      <c r="F96" s="6"/>
      <c r="G96" s="6"/>
      <c r="J96" s="20"/>
      <c r="K96" t="s">
        <v>46</v>
      </c>
      <c r="L96" s="1">
        <f>IF($B$4="Fast Attack",2,IF($B$4="Light",2,IF($B$4="Light Cruiser",2,IF($B$4="Light Escort",2,IF($B$4="Fast Frigate",2,IF($B$4="Light Frigate",2,IF($B$4="Fast/Far Scout",2,3)))))))</f>
        <v>2</v>
      </c>
      <c r="M96" s="16" t="s">
        <v>45</v>
      </c>
      <c r="N96" s="1">
        <v>6</v>
      </c>
      <c r="O96" s="1" t="s">
        <v>20</v>
      </c>
      <c r="P96" s="13" t="s">
        <v>15</v>
      </c>
      <c r="S96" s="1"/>
      <c r="T96" s="1"/>
      <c r="U96" s="1"/>
      <c r="V96" s="16"/>
      <c r="AE96" s="1">
        <v>93</v>
      </c>
      <c r="AF96" s="4" t="s">
        <v>5</v>
      </c>
      <c r="AG96" s="4" t="s">
        <v>4</v>
      </c>
      <c r="AH96" s="4" t="s">
        <v>0</v>
      </c>
      <c r="AJ96" s="14"/>
      <c r="AQ96" s="1">
        <v>93</v>
      </c>
      <c r="AR96" s="86" t="s">
        <v>835</v>
      </c>
      <c r="AS96" s="4" t="s">
        <v>0</v>
      </c>
      <c r="AX96" s="1"/>
    </row>
    <row r="97" spans="1:50" x14ac:dyDescent="0.2">
      <c r="A97" s="121"/>
      <c r="B97" s="15"/>
      <c r="C97" s="6"/>
      <c r="D97" s="6"/>
      <c r="E97" s="6"/>
      <c r="F97" s="6"/>
      <c r="G97" s="6"/>
      <c r="J97" s="20"/>
      <c r="K97" t="s">
        <v>44</v>
      </c>
      <c r="L97" s="1">
        <f>IF($B$4="Fast Attack",3,IF($B$4="Light",3,IF($B$4="Light Cruiser",3,IF($B$4="Light Escort",3,IF($B$4="Fast Frigate",3,IF($B$4="Light Frigate",3,IF($B$4="Fast/Far Scout",3,4)))))))</f>
        <v>3</v>
      </c>
      <c r="M97" s="16" t="s">
        <v>43</v>
      </c>
      <c r="N97" s="1">
        <v>7</v>
      </c>
      <c r="O97" s="1" t="s">
        <v>20</v>
      </c>
      <c r="P97" s="13" t="s">
        <v>15</v>
      </c>
      <c r="S97" s="1"/>
      <c r="T97" s="1"/>
      <c r="U97" s="1"/>
      <c r="V97" s="16"/>
      <c r="AE97" s="1">
        <v>94</v>
      </c>
      <c r="AF97" s="4" t="s">
        <v>5</v>
      </c>
      <c r="AG97" s="4" t="s">
        <v>4</v>
      </c>
      <c r="AH97" s="4" t="s">
        <v>0</v>
      </c>
      <c r="AJ97" s="14"/>
      <c r="AQ97" s="1">
        <v>94</v>
      </c>
      <c r="AR97" s="86" t="s">
        <v>835</v>
      </c>
      <c r="AS97" s="4" t="s">
        <v>0</v>
      </c>
      <c r="AX97" s="1"/>
    </row>
    <row r="98" spans="1:50" x14ac:dyDescent="0.2">
      <c r="A98" s="121" t="s">
        <v>124</v>
      </c>
      <c r="B98" s="110" t="str">
        <f>IF(B$1="FAC-1, FAC-2", VLOOKUP(B93,$AW$2:$AZ$54,3,FALSE),IF(B91="FAC-3",VLOOKUP(B93,$AW$2:$AZ$54,3,FALSE),VLOOKUP(B93,$AE$2:$AH$113,3,FALSE)))</f>
        <v xml:space="preserve"> </v>
      </c>
      <c r="C98" s="107" t="str">
        <f>IF(B98=" "," ","Reference Value Only")</f>
        <v xml:space="preserve"> </v>
      </c>
      <c r="D98" s="6"/>
      <c r="E98" s="6"/>
      <c r="F98" s="6"/>
      <c r="G98" s="6"/>
      <c r="J98" s="20"/>
      <c r="K98" t="s">
        <v>41</v>
      </c>
      <c r="L98" s="1">
        <f>IF($B$4="Fast Attack",4,IF($B$4="Light",4,IF($B$4="Light Cruiser",4,IF($B$4="Light Escort",4,IF($B$4="Fast Frigate",4,IF($B$4="Light Frigate",4,IF($B$4="Fast/Far Scout",4,5)))))))</f>
        <v>4</v>
      </c>
      <c r="M98" s="16" t="s">
        <v>40</v>
      </c>
      <c r="N98" s="1">
        <v>10</v>
      </c>
      <c r="O98" s="1" t="s">
        <v>39</v>
      </c>
      <c r="P98" s="13" t="s">
        <v>15</v>
      </c>
      <c r="S98" s="1"/>
      <c r="T98" s="1"/>
      <c r="U98" s="1"/>
      <c r="V98" s="16"/>
      <c r="AE98" s="1">
        <v>95</v>
      </c>
      <c r="AF98" s="4" t="s">
        <v>5</v>
      </c>
      <c r="AG98" s="4" t="s">
        <v>4</v>
      </c>
      <c r="AH98" s="4" t="s">
        <v>0</v>
      </c>
      <c r="AJ98" s="14"/>
      <c r="AQ98" s="1">
        <v>95</v>
      </c>
      <c r="AR98" s="86" t="s">
        <v>835</v>
      </c>
      <c r="AS98" s="4" t="s">
        <v>0</v>
      </c>
      <c r="AX98" s="1"/>
    </row>
    <row r="99" spans="1:50" x14ac:dyDescent="0.2">
      <c r="A99" s="121" t="s">
        <v>886</v>
      </c>
      <c r="B99" s="110" t="str">
        <f>IF($B$91="FAC-1, FAC-2", VLOOKUP($B$93,$AW$2:$AZ$54,4,FALSE),IF($B$91="FAC-3",VLOOKUP($B$93,$AW$2:$AZ$54,4,FALSE),VLOOKUP($B$93,$AE$2:$AH$113,4,FALSE)))</f>
        <v xml:space="preserve"> </v>
      </c>
      <c r="C99" s="107" t="str">
        <f>IF(B99=" "," ","Reference Value Only")</f>
        <v xml:space="preserve"> </v>
      </c>
      <c r="D99" s="15"/>
      <c r="E99" s="6"/>
      <c r="F99" s="6"/>
      <c r="G99" s="6"/>
      <c r="J99" s="20"/>
      <c r="K99" t="s">
        <v>36</v>
      </c>
      <c r="L99" s="1">
        <f>IF($B$4="Fast Attack",4,IF($B$4="Light",4,IF($B$4="Light Cruiser",4,IF($B$4="Light Escort",4,IF($B$4="Fast Frigate",4,IF($B$4="Light Frigate",4,IF($B$4="Fast/Far Scout",4,5)))))))</f>
        <v>4</v>
      </c>
      <c r="M99" s="16" t="s">
        <v>35</v>
      </c>
      <c r="N99" s="1">
        <v>9</v>
      </c>
      <c r="O99" s="1" t="s">
        <v>20</v>
      </c>
      <c r="P99" s="13" t="s">
        <v>15</v>
      </c>
      <c r="S99" s="1"/>
      <c r="T99" s="1"/>
      <c r="U99" s="1"/>
      <c r="V99" s="16"/>
      <c r="AE99" s="1">
        <v>96</v>
      </c>
      <c r="AF99" s="4" t="s">
        <v>5</v>
      </c>
      <c r="AG99" s="4" t="s">
        <v>4</v>
      </c>
      <c r="AH99" s="4" t="s">
        <v>0</v>
      </c>
      <c r="AJ99" s="14"/>
      <c r="AQ99" s="1">
        <v>96</v>
      </c>
      <c r="AR99" s="86" t="s">
        <v>835</v>
      </c>
      <c r="AS99" s="4" t="s">
        <v>0</v>
      </c>
      <c r="AX99" s="1"/>
    </row>
    <row r="100" spans="1:50" x14ac:dyDescent="0.2">
      <c r="A100" s="118"/>
      <c r="B100" s="118"/>
      <c r="C100" s="118"/>
      <c r="D100" s="118"/>
      <c r="E100" s="6"/>
      <c r="F100" s="6"/>
      <c r="G100" s="6"/>
      <c r="J100" s="20"/>
      <c r="K100" t="s">
        <v>32</v>
      </c>
      <c r="L100" s="1">
        <f>IF($B$4="Fast Attack",4,IF($B$4="Light",4,IF($B$4="Light Cruiser",4,IF($B$4="Light Escort",4,IF($B$4="Fast Frigate",4,IF($B$4="Light Frigate",4,IF($B$4="Fast/Far Scout",4,5)))))))</f>
        <v>4</v>
      </c>
      <c r="M100" s="16" t="s">
        <v>31</v>
      </c>
      <c r="N100" s="1">
        <v>8</v>
      </c>
      <c r="O100" s="1" t="s">
        <v>28</v>
      </c>
      <c r="P100" s="13" t="s">
        <v>15</v>
      </c>
      <c r="S100" s="1"/>
      <c r="T100" s="1"/>
      <c r="U100" s="1"/>
      <c r="V100" s="16"/>
      <c r="AE100" s="1">
        <v>97</v>
      </c>
      <c r="AF100" s="4" t="s">
        <v>5</v>
      </c>
      <c r="AG100" s="4" t="s">
        <v>4</v>
      </c>
      <c r="AH100" s="4" t="s">
        <v>0</v>
      </c>
      <c r="AJ100" s="14"/>
      <c r="AQ100" s="1">
        <v>97</v>
      </c>
      <c r="AR100" s="86" t="s">
        <v>835</v>
      </c>
      <c r="AS100" s="4" t="s">
        <v>0</v>
      </c>
      <c r="AX100" s="1"/>
    </row>
    <row r="101" spans="1:50" x14ac:dyDescent="0.2">
      <c r="A101" s="121" t="s">
        <v>895</v>
      </c>
      <c r="B101" s="7" t="str">
        <f>IF($B$81="FAC-1, FAC-2",VLOOKUP(H81,$AW$2:$AZ$54,3,FALSE),IF($B$81="FAC-3",VLOOKUP(H81,$AW$2:$AZ$54,3,FALSE),IF($B$91="FAC-1, FAC-2",VLOOKUP(H81,$AW$2:$AZ$54,3,FALSE),IF($B$91="FAC-3",VLOOKUP(H81,$AW$2:$AZ$54,3,FALSE),VLOOKUP(H81,$AE$2:$AH$113,3,FALSE)))))</f>
        <v>3/3/3/3/3</v>
      </c>
      <c r="C101" s="6"/>
      <c r="D101" s="6"/>
      <c r="E101" s="6"/>
      <c r="F101" s="6"/>
      <c r="G101" s="6"/>
      <c r="J101" s="20"/>
      <c r="K101" t="s">
        <v>30</v>
      </c>
      <c r="L101" s="1">
        <f>IF($B$4="Fast Attack",4,IF($B$4="Light",4,IF($B$4="Light Cruiser",4,IF($B$4="Light Escort",4,IF($B$4="Fast Frigate",4,IF($B$4="Light Frigate",4,IF($B$4="Fast/Far Scout",4,5)))))))</f>
        <v>4</v>
      </c>
      <c r="M101" s="16" t="s">
        <v>29</v>
      </c>
      <c r="N101" s="1">
        <v>7</v>
      </c>
      <c r="O101" s="1" t="s">
        <v>28</v>
      </c>
      <c r="P101" s="13" t="s">
        <v>15</v>
      </c>
      <c r="S101" s="1"/>
      <c r="T101" s="1"/>
      <c r="U101" s="1"/>
      <c r="V101" s="16"/>
      <c r="AE101" s="1">
        <v>98</v>
      </c>
      <c r="AF101" s="4" t="s">
        <v>5</v>
      </c>
      <c r="AG101" s="4" t="s">
        <v>4</v>
      </c>
      <c r="AH101" s="4" t="s">
        <v>0</v>
      </c>
      <c r="AJ101" s="14"/>
      <c r="AQ101" s="1">
        <v>98</v>
      </c>
      <c r="AR101" s="86" t="s">
        <v>835</v>
      </c>
      <c r="AS101" s="4" t="s">
        <v>0</v>
      </c>
      <c r="AX101" s="1"/>
    </row>
    <row r="102" spans="1:50" x14ac:dyDescent="0.2">
      <c r="A102" s="121" t="s">
        <v>897</v>
      </c>
      <c r="B102" s="7" t="str">
        <f>IF($B$81="FAC-1, FAC-2",VLOOKUP(H81,$AW$2:$AZ$54,4,FALSE),IF($B$81="FAC-3",VLOOKUP(H81,$AW$2:$AZ$54,4,FALSE),IF($B$91="FAC-1, FAC-2",VLOOKUP(H81,$AW$2:$AZ$54,4,FALSE),IF($B$91="FAC-3",VLOOKUP(H81,$AW$2:$AZ$54,4,FALSE),VLOOKUP(H81,$AE$2:$AH$113,4,FALSE)))))</f>
        <v>A</v>
      </c>
      <c r="C102" s="6"/>
      <c r="D102" s="15"/>
      <c r="E102" s="6"/>
      <c r="F102" s="6"/>
      <c r="G102" s="6"/>
      <c r="J102" s="20"/>
      <c r="K102" t="s">
        <v>26</v>
      </c>
      <c r="L102" s="1">
        <f>IF($B$4="Fast Attack",5,IF($B$4="Light",5,IF($B$4="Light Cruiser",5,IF($B$4="Light Escort",5,IF($B$4="Fast Frigate",5,IF($B$4="Light Frigate",5,IF($B$4="Fast/Far Scout",5,6)))))))</f>
        <v>5</v>
      </c>
      <c r="M102" s="16" t="s">
        <v>25</v>
      </c>
      <c r="N102" s="1">
        <v>10</v>
      </c>
      <c r="O102" s="1" t="s">
        <v>20</v>
      </c>
      <c r="P102" s="13" t="s">
        <v>15</v>
      </c>
      <c r="S102" s="1"/>
      <c r="T102" s="1"/>
      <c r="U102" s="1"/>
      <c r="V102" s="16"/>
      <c r="AE102" s="1">
        <v>99</v>
      </c>
      <c r="AF102" s="4" t="s">
        <v>5</v>
      </c>
      <c r="AG102" s="4" t="s">
        <v>4</v>
      </c>
      <c r="AH102" s="4" t="s">
        <v>0</v>
      </c>
      <c r="AJ102" s="14"/>
      <c r="AQ102" s="1">
        <v>99</v>
      </c>
      <c r="AR102" s="86" t="s">
        <v>835</v>
      </c>
      <c r="AS102" s="4" t="s">
        <v>0</v>
      </c>
      <c r="AX102" s="1"/>
    </row>
    <row r="103" spans="1:50" x14ac:dyDescent="0.2">
      <c r="A103" s="93"/>
      <c r="B103" s="15"/>
      <c r="C103" s="19"/>
      <c r="D103" s="15"/>
      <c r="E103" s="6"/>
      <c r="F103" s="6"/>
      <c r="G103" s="6"/>
      <c r="J103" s="20"/>
      <c r="K103" t="s">
        <v>22</v>
      </c>
      <c r="L103" s="1">
        <f>IF($B$4="Fast Attack",5,IF($B$4="Light",5,IF($B$4="Light Cruiser",5,IF($B$4="Light Escort",5,IF($B$4="Fast Frigate",5,IF($B$4="Light Frigate",5,IF($B$4="Fast/Far Scout",5,6)))))))</f>
        <v>5</v>
      </c>
      <c r="M103" s="16" t="s">
        <v>21</v>
      </c>
      <c r="N103" s="1">
        <v>9</v>
      </c>
      <c r="O103" s="1" t="s">
        <v>20</v>
      </c>
      <c r="P103" s="13" t="s">
        <v>15</v>
      </c>
      <c r="AE103" s="1">
        <v>100</v>
      </c>
      <c r="AF103" s="4" t="s">
        <v>5</v>
      </c>
      <c r="AG103" s="4" t="s">
        <v>4</v>
      </c>
      <c r="AH103" s="4" t="s">
        <v>0</v>
      </c>
      <c r="AJ103" s="14"/>
      <c r="AQ103" s="1">
        <v>100</v>
      </c>
      <c r="AR103" s="86" t="s">
        <v>835</v>
      </c>
      <c r="AS103" s="4" t="s">
        <v>0</v>
      </c>
      <c r="AX103" s="1"/>
    </row>
    <row r="104" spans="1:50" x14ac:dyDescent="0.2">
      <c r="A104" s="117" t="s">
        <v>815</v>
      </c>
      <c r="B104" s="117"/>
      <c r="C104" s="117"/>
      <c r="D104" s="117"/>
      <c r="E104" s="5"/>
      <c r="F104" s="5"/>
      <c r="G104" s="5"/>
      <c r="J104" s="20"/>
      <c r="K104" t="s">
        <v>19</v>
      </c>
      <c r="L104" s="1">
        <f>IF($B$4="Fast Attack",6,IF($B$4="Light",6,IF($B$4="Light Cruiser",6,IF($B$4="Light Escort",6,IF($B$4="Fast Frigate",6,IF($B$4="Light Frigate",6,IF($B$4="Fast/Far Scout",6,7)))))))</f>
        <v>6</v>
      </c>
      <c r="M104" s="16" t="s">
        <v>18</v>
      </c>
      <c r="N104" s="1">
        <v>8</v>
      </c>
      <c r="O104" s="1" t="s">
        <v>0</v>
      </c>
      <c r="P104" s="13" t="s">
        <v>15</v>
      </c>
      <c r="AE104" s="1">
        <v>101</v>
      </c>
      <c r="AF104" s="4" t="s">
        <v>5</v>
      </c>
      <c r="AG104" s="4" t="s">
        <v>4</v>
      </c>
      <c r="AH104" s="4" t="s">
        <v>0</v>
      </c>
      <c r="AJ104" s="14"/>
      <c r="AQ104" s="1">
        <v>101</v>
      </c>
      <c r="AR104" s="86" t="s">
        <v>835</v>
      </c>
      <c r="AS104" s="4" t="s">
        <v>0</v>
      </c>
      <c r="AX104" s="1"/>
    </row>
    <row r="105" spans="1:50" x14ac:dyDescent="0.2">
      <c r="A105" s="121" t="s">
        <v>154</v>
      </c>
      <c r="B105" s="81" t="s">
        <v>10</v>
      </c>
      <c r="C105" s="121" t="s">
        <v>152</v>
      </c>
      <c r="D105" s="1">
        <v>0</v>
      </c>
      <c r="E105" s="6"/>
      <c r="F105" s="6"/>
      <c r="G105" s="6"/>
      <c r="K105" t="s">
        <v>17</v>
      </c>
      <c r="L105" s="1">
        <f>IF($B$4="Fast Attack",7,IF($B$4="Light",7,IF($B$4="Light Cruiser",7,IF($B$4="Light Escort",7,IF($B$4="Fast Frigate",7,IF($B$4="Light Frigate",7,IF($B$4="Fast/Far Scout",7,8)))))))</f>
        <v>7</v>
      </c>
      <c r="M105" s="16" t="s">
        <v>16</v>
      </c>
      <c r="N105" s="1">
        <v>9</v>
      </c>
      <c r="O105" s="1" t="s">
        <v>0</v>
      </c>
      <c r="P105" s="13" t="s">
        <v>15</v>
      </c>
      <c r="AE105" s="1">
        <v>102</v>
      </c>
      <c r="AF105" s="4" t="s">
        <v>5</v>
      </c>
      <c r="AG105" s="4" t="s">
        <v>4</v>
      </c>
      <c r="AH105" s="4" t="s">
        <v>0</v>
      </c>
      <c r="AJ105" s="14"/>
      <c r="AQ105" s="1">
        <v>102</v>
      </c>
      <c r="AR105" s="86" t="s">
        <v>835</v>
      </c>
      <c r="AS105" s="4" t="s">
        <v>0</v>
      </c>
      <c r="AX105" s="1"/>
    </row>
    <row r="106" spans="1:50" x14ac:dyDescent="0.2">
      <c r="A106" s="121" t="s">
        <v>79</v>
      </c>
      <c r="B106" s="7">
        <f>D106*D105</f>
        <v>0</v>
      </c>
      <c r="C106" s="121" t="s">
        <v>146</v>
      </c>
      <c r="D106" s="7">
        <f>VLOOKUP(B105,$K$17:$N$20,2,FALSE)</f>
        <v>0</v>
      </c>
      <c r="E106" s="6"/>
      <c r="F106" s="6"/>
      <c r="G106" s="6"/>
      <c r="AE106" s="1">
        <v>103</v>
      </c>
      <c r="AF106" s="4" t="s">
        <v>5</v>
      </c>
      <c r="AG106" s="4" t="s">
        <v>4</v>
      </c>
      <c r="AH106" s="4" t="s">
        <v>0</v>
      </c>
      <c r="AJ106" s="14"/>
      <c r="AQ106" s="1">
        <v>103</v>
      </c>
      <c r="AR106" s="86" t="s">
        <v>835</v>
      </c>
      <c r="AS106" s="4" t="s">
        <v>0</v>
      </c>
      <c r="AX106" s="1"/>
    </row>
    <row r="107" spans="1:50" x14ac:dyDescent="0.2">
      <c r="A107" s="121" t="s">
        <v>144</v>
      </c>
      <c r="B107" s="7">
        <f>D107*D105</f>
        <v>0</v>
      </c>
      <c r="C107" s="121" t="s">
        <v>143</v>
      </c>
      <c r="D107" s="7">
        <f>VLOOKUP(B105,$K$17:$N$20,3,FALSE)</f>
        <v>0</v>
      </c>
      <c r="E107" s="6"/>
      <c r="F107" s="6"/>
      <c r="G107" s="6"/>
      <c r="K107" s="100" t="s">
        <v>889</v>
      </c>
      <c r="AE107" s="1">
        <v>104</v>
      </c>
      <c r="AF107" s="4" t="s">
        <v>5</v>
      </c>
      <c r="AG107" s="4" t="s">
        <v>4</v>
      </c>
      <c r="AH107" s="4" t="s">
        <v>0</v>
      </c>
      <c r="AJ107" s="14"/>
      <c r="AQ107" s="1">
        <v>104</v>
      </c>
      <c r="AR107" s="86" t="s">
        <v>835</v>
      </c>
      <c r="AS107" s="4" t="s">
        <v>0</v>
      </c>
      <c r="AX107" s="1"/>
    </row>
    <row r="108" spans="1:50" x14ac:dyDescent="0.2">
      <c r="A108" s="121" t="s">
        <v>139</v>
      </c>
      <c r="B108" s="7">
        <f>VLOOKUP(B105,$K$17:$N$20,4,FALSE)</f>
        <v>0</v>
      </c>
      <c r="C108" s="107" t="str">
        <f>IF(B108&gt;$B$5,"Weapon Too Large for Ship Size","Meets Min. Ship Size Restriction")</f>
        <v>Meets Min. Ship Size Restriction</v>
      </c>
      <c r="D108" s="15"/>
      <c r="E108" s="6"/>
      <c r="F108" s="6"/>
      <c r="G108" s="6"/>
      <c r="K108" s="12">
        <f>VLOOKUP($B$46,$K$81:$O$105,2,FALSE)</f>
        <v>6</v>
      </c>
      <c r="AE108" s="1">
        <v>105</v>
      </c>
      <c r="AF108" s="4" t="s">
        <v>5</v>
      </c>
      <c r="AG108" s="4" t="s">
        <v>4</v>
      </c>
      <c r="AH108" s="4" t="s">
        <v>0</v>
      </c>
      <c r="AJ108" s="14"/>
      <c r="AQ108" s="1">
        <v>105</v>
      </c>
      <c r="AR108" s="86" t="s">
        <v>835</v>
      </c>
      <c r="AS108" s="4" t="s">
        <v>0</v>
      </c>
      <c r="AX108" s="1"/>
    </row>
    <row r="109" spans="1:50" x14ac:dyDescent="0.2">
      <c r="A109" s="121" t="s">
        <v>60</v>
      </c>
      <c r="B109" s="7"/>
      <c r="C109" s="6"/>
      <c r="D109" s="6"/>
      <c r="E109" s="6"/>
      <c r="F109" s="6"/>
      <c r="G109" s="6"/>
      <c r="I109" s="25" t="s">
        <v>110</v>
      </c>
      <c r="J109" s="13"/>
      <c r="K109" s="10" t="s">
        <v>113</v>
      </c>
      <c r="AE109" s="1">
        <v>106</v>
      </c>
      <c r="AF109" s="4" t="s">
        <v>5</v>
      </c>
      <c r="AG109" s="4" t="s">
        <v>4</v>
      </c>
      <c r="AH109" s="4" t="s">
        <v>0</v>
      </c>
      <c r="AJ109" s="14"/>
      <c r="AQ109" s="1">
        <v>106</v>
      </c>
      <c r="AR109" s="86" t="s">
        <v>835</v>
      </c>
      <c r="AS109" s="4" t="s">
        <v>0</v>
      </c>
      <c r="AX109" s="1"/>
    </row>
    <row r="110" spans="1:50" x14ac:dyDescent="0.2">
      <c r="A110" s="92"/>
      <c r="B110" s="7"/>
      <c r="C110" s="6"/>
      <c r="D110" s="6"/>
      <c r="E110" s="6"/>
      <c r="F110" s="6"/>
      <c r="G110" s="6"/>
      <c r="I110" s="1">
        <f>B56+B83</f>
        <v>22</v>
      </c>
      <c r="J110" s="1"/>
      <c r="AE110" s="1">
        <v>107</v>
      </c>
      <c r="AF110" s="4" t="s">
        <v>5</v>
      </c>
      <c r="AG110" s="4" t="s">
        <v>4</v>
      </c>
      <c r="AH110" s="4" t="s">
        <v>0</v>
      </c>
      <c r="AJ110" s="14"/>
      <c r="AQ110" s="1">
        <v>107</v>
      </c>
      <c r="AR110" s="86" t="s">
        <v>835</v>
      </c>
      <c r="AS110" s="4" t="s">
        <v>0</v>
      </c>
      <c r="AX110" s="1"/>
    </row>
    <row r="111" spans="1:50" x14ac:dyDescent="0.2">
      <c r="A111" s="92"/>
      <c r="B111" s="15"/>
      <c r="C111" s="6"/>
      <c r="D111" s="6"/>
      <c r="E111" s="6"/>
      <c r="F111" s="6"/>
      <c r="G111" s="6"/>
      <c r="I111" s="25" t="s">
        <v>119</v>
      </c>
      <c r="AE111" s="1">
        <v>108</v>
      </c>
      <c r="AF111" s="4" t="s">
        <v>5</v>
      </c>
      <c r="AG111" s="4" t="s">
        <v>4</v>
      </c>
      <c r="AH111" s="4" t="s">
        <v>0</v>
      </c>
      <c r="AJ111" s="14"/>
      <c r="AQ111" s="1">
        <v>108</v>
      </c>
      <c r="AR111" s="86" t="s">
        <v>835</v>
      </c>
      <c r="AS111" s="4" t="s">
        <v>0</v>
      </c>
      <c r="AX111" s="1"/>
    </row>
    <row r="112" spans="1:50" x14ac:dyDescent="0.2">
      <c r="A112" s="121" t="s">
        <v>124</v>
      </c>
      <c r="B112" s="7" t="str">
        <f>VLOOKUP(B107,$AQ$2:$AS$138,2,FALSE)</f>
        <v xml:space="preserve"> </v>
      </c>
      <c r="C112" s="6"/>
      <c r="D112" s="6"/>
      <c r="E112" s="6"/>
      <c r="F112" s="6"/>
      <c r="G112" s="6"/>
      <c r="I112" s="1">
        <f>VLOOKUP($B$141,$Y$40:$AC$46,2,FALSE)</f>
        <v>4</v>
      </c>
      <c r="AE112" s="1">
        <v>109</v>
      </c>
      <c r="AF112" s="4" t="s">
        <v>5</v>
      </c>
      <c r="AG112" s="4" t="s">
        <v>4</v>
      </c>
      <c r="AH112" s="4" t="s">
        <v>0</v>
      </c>
      <c r="AJ112" s="14"/>
      <c r="AQ112" s="1">
        <v>109</v>
      </c>
      <c r="AR112" s="86" t="s">
        <v>835</v>
      </c>
      <c r="AS112" s="4" t="s">
        <v>0</v>
      </c>
      <c r="AX112" s="1"/>
    </row>
    <row r="113" spans="1:50" x14ac:dyDescent="0.2">
      <c r="A113" s="121" t="s">
        <v>887</v>
      </c>
      <c r="B113" s="7" t="str">
        <f>VLOOKUP(B107,$AQ$2:$AS$138,3,FALSE)</f>
        <v xml:space="preserve"> </v>
      </c>
      <c r="C113" s="107" t="str">
        <f>IF(B113=" "," ","Reference Value Only")</f>
        <v xml:space="preserve"> </v>
      </c>
      <c r="D113" s="15"/>
      <c r="E113" s="6"/>
      <c r="F113" s="6"/>
      <c r="G113" s="6"/>
      <c r="AE113" s="3" t="s">
        <v>838</v>
      </c>
      <c r="AF113" s="2" t="s">
        <v>2</v>
      </c>
      <c r="AG113" s="2" t="s">
        <v>1</v>
      </c>
      <c r="AH113" s="2" t="s">
        <v>450</v>
      </c>
      <c r="AJ113" s="14"/>
      <c r="AQ113" s="3" t="s">
        <v>838</v>
      </c>
      <c r="AR113" s="2" t="s">
        <v>836</v>
      </c>
      <c r="AS113" s="2" t="s">
        <v>450</v>
      </c>
      <c r="AX113" s="1"/>
    </row>
    <row r="114" spans="1:50" x14ac:dyDescent="0.2">
      <c r="A114" s="95"/>
      <c r="B114" s="89"/>
      <c r="C114" s="95"/>
      <c r="D114" s="89"/>
      <c r="E114" s="95"/>
      <c r="F114" s="89"/>
      <c r="G114" s="89"/>
      <c r="H114" s="100" t="s">
        <v>49</v>
      </c>
      <c r="I114" s="100" t="s">
        <v>47</v>
      </c>
      <c r="AJ114" s="14"/>
      <c r="AQ114" s="1">
        <v>111</v>
      </c>
      <c r="AR114" s="86" t="s">
        <v>836</v>
      </c>
      <c r="AS114" s="86" t="s">
        <v>450</v>
      </c>
      <c r="AX114" s="1"/>
    </row>
    <row r="115" spans="1:50" x14ac:dyDescent="0.2">
      <c r="A115" s="121" t="s">
        <v>839</v>
      </c>
      <c r="B115" s="7">
        <f>$B$56+B68+$B$83+B93+$B$107</f>
        <v>22</v>
      </c>
      <c r="C115" s="19"/>
      <c r="D115" s="15"/>
      <c r="E115" s="6"/>
      <c r="F115" s="6"/>
      <c r="G115" s="6"/>
      <c r="H115" t="s">
        <v>10</v>
      </c>
      <c r="I115" s="1">
        <v>0</v>
      </c>
      <c r="AJ115" s="14"/>
      <c r="AQ115" s="1">
        <v>112</v>
      </c>
      <c r="AR115" s="86" t="s">
        <v>836</v>
      </c>
      <c r="AS115" s="86" t="s">
        <v>450</v>
      </c>
      <c r="AX115" s="1"/>
    </row>
    <row r="116" spans="1:50" x14ac:dyDescent="0.2">
      <c r="A116" s="121" t="s">
        <v>888</v>
      </c>
      <c r="B116" s="7" t="str">
        <f>VLOOKUP(B115,AE3:AH113,4,FALSE)</f>
        <v>B</v>
      </c>
      <c r="C116" s="6"/>
      <c r="D116" s="6"/>
      <c r="E116" s="6"/>
      <c r="F116" s="6"/>
      <c r="G116" s="6"/>
      <c r="H116" t="s">
        <v>764</v>
      </c>
      <c r="I116" s="1">
        <v>1</v>
      </c>
      <c r="AJ116" s="14"/>
      <c r="AQ116" s="1">
        <v>113</v>
      </c>
      <c r="AR116" s="86" t="s">
        <v>836</v>
      </c>
      <c r="AS116" s="86" t="s">
        <v>450</v>
      </c>
      <c r="AX116" s="1"/>
    </row>
    <row r="117" spans="1:50" x14ac:dyDescent="0.2">
      <c r="A117" s="117" t="s">
        <v>90</v>
      </c>
      <c r="B117" s="117"/>
      <c r="C117" s="117"/>
      <c r="D117" s="117"/>
      <c r="E117" s="5"/>
      <c r="F117" s="5"/>
      <c r="G117" s="5"/>
      <c r="H117" t="s">
        <v>765</v>
      </c>
      <c r="I117" s="1">
        <v>2</v>
      </c>
      <c r="AJ117" s="14"/>
      <c r="AQ117" s="1">
        <v>114</v>
      </c>
      <c r="AR117" s="86" t="s">
        <v>836</v>
      </c>
      <c r="AS117" s="86" t="s">
        <v>450</v>
      </c>
      <c r="AX117" s="1"/>
    </row>
    <row r="118" spans="1:50" x14ac:dyDescent="0.2">
      <c r="A118" s="121" t="s">
        <v>85</v>
      </c>
      <c r="B118" s="81" t="s">
        <v>793</v>
      </c>
      <c r="C118" s="6"/>
      <c r="D118" s="6"/>
      <c r="E118" s="6"/>
      <c r="F118" s="6"/>
      <c r="G118" s="6"/>
      <c r="AJ118" s="14"/>
      <c r="AQ118" s="1">
        <v>115</v>
      </c>
      <c r="AR118" s="86" t="s">
        <v>836</v>
      </c>
      <c r="AS118" s="86" t="s">
        <v>450</v>
      </c>
      <c r="AX118" s="1"/>
    </row>
    <row r="119" spans="1:50" x14ac:dyDescent="0.2">
      <c r="A119" s="121" t="s">
        <v>79</v>
      </c>
      <c r="B119" s="7">
        <f>VLOOKUP($B$118,$AJ$2:$AO$63,2,FALSE)+$D$123</f>
        <v>4</v>
      </c>
      <c r="C119" s="121" t="s">
        <v>78</v>
      </c>
      <c r="D119" s="7">
        <f>VLOOKUP($B$118,$AJ$2:$AO$63,2,FALSE)</f>
        <v>4</v>
      </c>
      <c r="E119" s="6"/>
      <c r="F119" s="6"/>
      <c r="G119" s="6"/>
      <c r="H119" s="100" t="s">
        <v>766</v>
      </c>
      <c r="I119" s="100" t="s">
        <v>47</v>
      </c>
      <c r="AJ119" s="14"/>
      <c r="AQ119" s="1">
        <v>116</v>
      </c>
      <c r="AR119" s="86" t="s">
        <v>836</v>
      </c>
      <c r="AS119" s="86" t="s">
        <v>450</v>
      </c>
      <c r="AX119" s="1"/>
    </row>
    <row r="120" spans="1:50" x14ac:dyDescent="0.2">
      <c r="A120" s="121" t="s">
        <v>74</v>
      </c>
      <c r="B120" s="7">
        <f>VLOOKUP($B$118,$AJ$2:$AO$63,3,FALSE)</f>
        <v>12</v>
      </c>
      <c r="C120" s="121"/>
      <c r="D120" s="6"/>
      <c r="E120" s="6"/>
      <c r="F120" s="6"/>
      <c r="G120" s="6"/>
      <c r="H120" t="s">
        <v>132</v>
      </c>
      <c r="I120" s="1">
        <f>ROUNDDOWN(B5/2,0)</f>
        <v>2</v>
      </c>
      <c r="AJ120" s="14"/>
      <c r="AQ120" s="1">
        <v>117</v>
      </c>
      <c r="AR120" s="86" t="s">
        <v>836</v>
      </c>
      <c r="AS120" s="86" t="s">
        <v>450</v>
      </c>
      <c r="AX120" s="1"/>
    </row>
    <row r="121" spans="1:50" x14ac:dyDescent="0.2">
      <c r="A121" s="121" t="s">
        <v>68</v>
      </c>
      <c r="B121" s="7">
        <f>D121+D123</f>
        <v>1</v>
      </c>
      <c r="C121" s="121" t="s">
        <v>67</v>
      </c>
      <c r="D121" s="7" t="str">
        <f>VLOOKUP($B$118,$AJ$2:$AO$63,4,FALSE)</f>
        <v>1</v>
      </c>
      <c r="E121" s="19"/>
      <c r="F121" s="21"/>
      <c r="G121" s="19"/>
      <c r="H121" t="s">
        <v>48</v>
      </c>
      <c r="I121" s="1">
        <v>0</v>
      </c>
      <c r="AJ121" s="14"/>
      <c r="AQ121" s="1">
        <v>118</v>
      </c>
      <c r="AR121" s="86" t="s">
        <v>836</v>
      </c>
      <c r="AS121" s="86" t="s">
        <v>450</v>
      </c>
      <c r="AX121" s="1"/>
    </row>
    <row r="122" spans="1:50" x14ac:dyDescent="0.2">
      <c r="A122" s="121" t="s">
        <v>65</v>
      </c>
      <c r="B122" s="7" t="str">
        <f>VLOOKUP($B$118,$AJ$2:$AO$63,6,FALSE)</f>
        <v>BB</v>
      </c>
      <c r="C122" s="121" t="s">
        <v>64</v>
      </c>
      <c r="D122" s="7">
        <f>VLOOKUP($B$118,$AJ$2:$AO$63,5,FALSE)</f>
        <v>2</v>
      </c>
      <c r="E122" s="6"/>
      <c r="F122" s="6"/>
      <c r="G122" s="6"/>
      <c r="AJ122" s="14"/>
      <c r="AQ122" s="1">
        <v>119</v>
      </c>
      <c r="AR122" s="86" t="s">
        <v>836</v>
      </c>
      <c r="AS122" s="86" t="s">
        <v>450</v>
      </c>
      <c r="AX122" s="1"/>
    </row>
    <row r="123" spans="1:50" x14ac:dyDescent="0.2">
      <c r="A123" s="121" t="s">
        <v>60</v>
      </c>
      <c r="B123" s="7" t="str">
        <f>VLOOKUP($B$118,$AJ$2:$AQ$63,7,FALSE)</f>
        <v xml:space="preserve"> </v>
      </c>
      <c r="C123" s="121" t="s">
        <v>59</v>
      </c>
      <c r="D123" s="1">
        <v>0</v>
      </c>
      <c r="E123" s="6"/>
      <c r="F123" s="6"/>
      <c r="G123" s="6"/>
      <c r="S123" s="1"/>
      <c r="T123" s="1"/>
      <c r="U123" s="1"/>
      <c r="V123" s="1"/>
      <c r="AJ123" s="14"/>
      <c r="AQ123" s="1">
        <v>120</v>
      </c>
      <c r="AR123" s="86" t="s">
        <v>836</v>
      </c>
      <c r="AS123" s="86" t="s">
        <v>450</v>
      </c>
      <c r="AX123" s="1"/>
    </row>
    <row r="124" spans="1:50" x14ac:dyDescent="0.2">
      <c r="A124" s="93"/>
      <c r="B124" s="7" t="str">
        <f>VLOOKUP($B$118,$AJ$2:$AP$63,7,FALSE)</f>
        <v xml:space="preserve"> </v>
      </c>
      <c r="C124" s="6"/>
      <c r="D124" s="6"/>
      <c r="E124" s="6"/>
      <c r="F124" s="6"/>
      <c r="G124" s="6"/>
      <c r="S124" s="1"/>
      <c r="T124" s="1"/>
      <c r="U124" s="1"/>
      <c r="V124" s="1"/>
      <c r="AJ124" s="14"/>
      <c r="AQ124" s="1">
        <v>121</v>
      </c>
      <c r="AR124" s="86" t="s">
        <v>836</v>
      </c>
      <c r="AS124" s="86" t="s">
        <v>450</v>
      </c>
    </row>
    <row r="125" spans="1:50" x14ac:dyDescent="0.2">
      <c r="A125" s="117" t="s">
        <v>52</v>
      </c>
      <c r="B125" s="117"/>
      <c r="C125" s="117"/>
      <c r="D125" s="117"/>
      <c r="E125" s="5"/>
      <c r="F125" s="5"/>
      <c r="G125" s="5"/>
      <c r="S125" s="1"/>
      <c r="T125" s="1"/>
      <c r="U125" s="1"/>
      <c r="V125" s="1"/>
      <c r="AJ125" s="14"/>
      <c r="AQ125" s="1">
        <v>122</v>
      </c>
      <c r="AR125" s="86" t="s">
        <v>836</v>
      </c>
      <c r="AS125" s="86" t="s">
        <v>450</v>
      </c>
    </row>
    <row r="126" spans="1:50" x14ac:dyDescent="0.2">
      <c r="A126" s="122" t="s">
        <v>766</v>
      </c>
      <c r="B126" s="81" t="s">
        <v>132</v>
      </c>
      <c r="C126" s="122" t="s">
        <v>47</v>
      </c>
      <c r="D126" s="7">
        <f>VLOOKUP(B126,H120:I121,2,FALSE)</f>
        <v>2</v>
      </c>
      <c r="E126" s="9" t="str">
        <f>IF(B5&gt;6,"Ship Too Large; Max. Ship Size=6","Meets Ship Size Restriction")</f>
        <v>Meets Ship Size Restriction</v>
      </c>
      <c r="F126" s="8"/>
      <c r="G126" s="6"/>
      <c r="S126" s="1"/>
      <c r="T126" s="1"/>
      <c r="U126" s="1"/>
      <c r="V126" s="1"/>
      <c r="AJ126" s="14"/>
      <c r="AQ126" s="1">
        <v>123</v>
      </c>
      <c r="AR126" s="86" t="s">
        <v>836</v>
      </c>
      <c r="AS126" s="86" t="s">
        <v>450</v>
      </c>
    </row>
    <row r="127" spans="1:50" x14ac:dyDescent="0.2">
      <c r="A127" s="121" t="s">
        <v>49</v>
      </c>
      <c r="B127" s="81" t="s">
        <v>10</v>
      </c>
      <c r="C127" s="121" t="s">
        <v>47</v>
      </c>
      <c r="D127" s="7">
        <f>VLOOKUP(B127,H115:I117,2,FALSE)</f>
        <v>0</v>
      </c>
      <c r="E127" s="6"/>
      <c r="F127" s="6"/>
      <c r="G127" s="6"/>
      <c r="S127" s="1"/>
      <c r="T127" s="1"/>
      <c r="U127" s="1"/>
      <c r="V127" s="1"/>
      <c r="AJ127" s="14"/>
      <c r="AQ127" s="1">
        <v>124</v>
      </c>
      <c r="AR127" s="86" t="s">
        <v>836</v>
      </c>
      <c r="AS127" s="86" t="s">
        <v>450</v>
      </c>
    </row>
    <row r="128" spans="1:50" x14ac:dyDescent="0.2">
      <c r="A128" s="121"/>
      <c r="B128" s="15"/>
      <c r="C128" s="123"/>
      <c r="D128" s="15"/>
      <c r="E128" s="6"/>
      <c r="F128" s="6"/>
      <c r="G128" s="6"/>
      <c r="S128" s="1"/>
      <c r="T128" s="1"/>
      <c r="U128" s="1"/>
      <c r="V128" s="1"/>
      <c r="AJ128" s="14"/>
      <c r="AQ128" s="1">
        <v>125</v>
      </c>
      <c r="AR128" s="86" t="s">
        <v>836</v>
      </c>
      <c r="AS128" s="86" t="s">
        <v>450</v>
      </c>
    </row>
    <row r="129" spans="1:45" x14ac:dyDescent="0.2">
      <c r="A129" s="121" t="s">
        <v>42</v>
      </c>
      <c r="B129" s="15"/>
      <c r="C129" s="123"/>
      <c r="D129" s="15"/>
      <c r="E129" s="6"/>
      <c r="F129" s="6"/>
      <c r="G129" s="6"/>
      <c r="S129" s="1"/>
      <c r="T129" s="1"/>
      <c r="U129" s="1"/>
      <c r="V129" s="1"/>
      <c r="AJ129" s="14"/>
      <c r="AQ129" s="1">
        <v>126</v>
      </c>
      <c r="AR129" s="86" t="s">
        <v>836</v>
      </c>
      <c r="AS129" s="86" t="s">
        <v>450</v>
      </c>
    </row>
    <row r="130" spans="1:45" x14ac:dyDescent="0.2">
      <c r="A130" s="121" t="s">
        <v>38</v>
      </c>
      <c r="B130" s="7" t="str">
        <f>IF(B5=1,"Min. Size for Bay = 1",1 &amp;"+" &amp;D130)</f>
        <v>1+-1</v>
      </c>
      <c r="C130" s="121" t="s">
        <v>37</v>
      </c>
      <c r="D130" s="1">
        <v>-1</v>
      </c>
      <c r="E130" s="6"/>
      <c r="F130" s="6"/>
      <c r="G130" s="6"/>
      <c r="S130" s="1"/>
      <c r="T130" s="1"/>
      <c r="U130" s="1"/>
      <c r="V130" s="1"/>
      <c r="AJ130" s="14"/>
      <c r="AQ130" s="1">
        <v>127</v>
      </c>
      <c r="AR130" s="86" t="s">
        <v>836</v>
      </c>
      <c r="AS130" s="86" t="s">
        <v>450</v>
      </c>
    </row>
    <row r="131" spans="1:45" x14ac:dyDescent="0.2">
      <c r="A131" s="121" t="s">
        <v>9</v>
      </c>
      <c r="B131" s="7">
        <f>2+D130*2</f>
        <v>0</v>
      </c>
      <c r="C131" s="9" t="str">
        <f>IF(B5&lt;2,"Size 3+ Ships Only Can Purchase Shuttle Bays","Ship Meets Size Restriction")</f>
        <v>Ship Meets Size Restriction</v>
      </c>
      <c r="D131" s="15"/>
      <c r="E131" s="6"/>
      <c r="F131" s="6"/>
      <c r="G131" s="6"/>
      <c r="S131" s="1"/>
      <c r="T131" s="1"/>
      <c r="U131" s="1"/>
      <c r="V131" s="1"/>
      <c r="AJ131" s="14"/>
      <c r="AQ131" s="1">
        <v>128</v>
      </c>
      <c r="AR131" s="86" t="s">
        <v>836</v>
      </c>
      <c r="AS131" s="86" t="s">
        <v>450</v>
      </c>
    </row>
    <row r="132" spans="1:45" x14ac:dyDescent="0.2">
      <c r="A132" s="121"/>
      <c r="B132" s="6"/>
      <c r="C132" s="92"/>
      <c r="D132" s="15"/>
      <c r="E132" s="6"/>
      <c r="F132" s="6"/>
      <c r="G132" s="6"/>
      <c r="S132" s="1"/>
      <c r="T132" s="1"/>
      <c r="U132" s="1"/>
      <c r="V132" s="1"/>
      <c r="AJ132" s="14"/>
      <c r="AQ132" s="1">
        <v>129</v>
      </c>
      <c r="AR132" s="86" t="s">
        <v>836</v>
      </c>
      <c r="AS132" s="86" t="s">
        <v>450</v>
      </c>
    </row>
    <row r="133" spans="1:45" x14ac:dyDescent="0.2">
      <c r="A133" s="121" t="s">
        <v>27</v>
      </c>
      <c r="B133" s="6"/>
      <c r="C133" s="92"/>
      <c r="D133" s="15"/>
      <c r="E133" s="6"/>
      <c r="F133" s="6"/>
      <c r="G133" s="6"/>
      <c r="S133" s="1"/>
      <c r="T133" s="1"/>
      <c r="U133" s="1"/>
      <c r="V133" s="1"/>
      <c r="AJ133" s="14"/>
      <c r="AQ133" s="1">
        <v>130</v>
      </c>
      <c r="AR133" s="86" t="s">
        <v>836</v>
      </c>
      <c r="AS133" s="86" t="s">
        <v>450</v>
      </c>
    </row>
    <row r="134" spans="1:45" x14ac:dyDescent="0.2">
      <c r="A134" s="121" t="s">
        <v>24</v>
      </c>
      <c r="B134" s="7" t="str">
        <f>1 &amp;"+" &amp;D134</f>
        <v>1+0</v>
      </c>
      <c r="C134" s="121" t="s">
        <v>23</v>
      </c>
      <c r="D134" s="1">
        <v>0</v>
      </c>
      <c r="E134" s="6"/>
      <c r="F134" s="6"/>
      <c r="G134" s="6"/>
      <c r="S134" s="1"/>
      <c r="T134" s="1"/>
      <c r="U134" s="1"/>
      <c r="V134" s="1"/>
      <c r="AJ134" s="14"/>
      <c r="AQ134" s="1">
        <v>131</v>
      </c>
      <c r="AR134" s="86" t="s">
        <v>836</v>
      </c>
      <c r="AS134" s="86" t="s">
        <v>450</v>
      </c>
    </row>
    <row r="135" spans="1:45" x14ac:dyDescent="0.2">
      <c r="A135" s="121" t="s">
        <v>9</v>
      </c>
      <c r="B135" s="7">
        <f>D134</f>
        <v>0</v>
      </c>
      <c r="C135" s="121"/>
      <c r="D135" s="15"/>
      <c r="E135" s="6"/>
      <c r="F135" s="6"/>
      <c r="G135" s="6"/>
      <c r="S135" s="1"/>
      <c r="T135" s="1"/>
      <c r="U135" s="1"/>
      <c r="V135" s="1"/>
      <c r="AJ135" s="14"/>
      <c r="AQ135" s="1">
        <v>132</v>
      </c>
      <c r="AR135" s="86" t="s">
        <v>836</v>
      </c>
      <c r="AS135" s="86" t="s">
        <v>450</v>
      </c>
    </row>
    <row r="136" spans="1:45" x14ac:dyDescent="0.2">
      <c r="A136" s="121"/>
      <c r="B136" s="6"/>
      <c r="C136" s="121"/>
      <c r="D136" s="15"/>
      <c r="E136" s="6"/>
      <c r="F136" s="6"/>
      <c r="G136" s="6"/>
      <c r="S136" s="1"/>
      <c r="T136" s="1"/>
      <c r="U136" s="1"/>
      <c r="V136" s="1"/>
      <c r="AJ136" s="14"/>
      <c r="AQ136" s="1">
        <v>133</v>
      </c>
      <c r="AR136" s="86" t="s">
        <v>836</v>
      </c>
      <c r="AS136" s="86" t="s">
        <v>450</v>
      </c>
    </row>
    <row r="137" spans="1:45" x14ac:dyDescent="0.2">
      <c r="A137" s="121" t="s">
        <v>14</v>
      </c>
      <c r="B137" s="6"/>
      <c r="C137" s="121"/>
      <c r="D137" s="15"/>
      <c r="E137" s="6"/>
      <c r="F137" s="6"/>
      <c r="G137" s="6"/>
      <c r="M137" s="14"/>
      <c r="P137" s="13"/>
      <c r="AJ137" s="14"/>
      <c r="AQ137" s="1">
        <v>134</v>
      </c>
      <c r="AR137" s="86" t="s">
        <v>836</v>
      </c>
      <c r="AS137" s="86" t="s">
        <v>450</v>
      </c>
    </row>
    <row r="138" spans="1:45" x14ac:dyDescent="0.2">
      <c r="A138" s="121" t="s">
        <v>13</v>
      </c>
      <c r="B138" s="104" t="str">
        <f>ROUNDDOWN($B$5/2,0) &amp;" ea. Standard/Emergency/Cargo + " &amp;D138 &amp;" of any type"</f>
        <v>2 ea. Standard/Emergency/Cargo + 0 of any type</v>
      </c>
      <c r="C138" s="121" t="s">
        <v>12</v>
      </c>
      <c r="D138" s="1">
        <v>0</v>
      </c>
      <c r="E138" s="6"/>
      <c r="F138" s="6"/>
      <c r="G138" s="6"/>
      <c r="M138" s="14"/>
      <c r="P138" s="13"/>
      <c r="AJ138" s="14"/>
      <c r="AQ138" s="1">
        <v>135</v>
      </c>
      <c r="AR138" t="s">
        <v>837</v>
      </c>
      <c r="AS138" s="86" t="s">
        <v>450</v>
      </c>
    </row>
    <row r="139" spans="1:45" x14ac:dyDescent="0.2">
      <c r="A139" s="121" t="s">
        <v>9</v>
      </c>
      <c r="B139" s="7">
        <f>$D$138</f>
        <v>0</v>
      </c>
      <c r="C139" s="6"/>
      <c r="D139" s="6"/>
      <c r="E139" s="6"/>
      <c r="F139" s="6"/>
      <c r="G139" s="6"/>
      <c r="M139" s="14"/>
      <c r="P139" s="13"/>
      <c r="AJ139" s="14"/>
    </row>
    <row r="140" spans="1:45" x14ac:dyDescent="0.2">
      <c r="A140" s="121"/>
      <c r="B140" s="6"/>
      <c r="C140" s="6"/>
      <c r="D140" s="6"/>
      <c r="E140" s="6"/>
      <c r="F140" s="6"/>
      <c r="G140" s="6"/>
      <c r="AJ140" s="14"/>
    </row>
    <row r="141" spans="1:45" x14ac:dyDescent="0.2">
      <c r="A141" s="121" t="s">
        <v>11</v>
      </c>
      <c r="B141" s="81" t="s">
        <v>890</v>
      </c>
      <c r="C141" s="6"/>
      <c r="D141" s="6"/>
      <c r="E141" s="6"/>
      <c r="F141" s="6"/>
      <c r="G141" s="6"/>
      <c r="AJ141" s="14"/>
    </row>
    <row r="142" spans="1:45" x14ac:dyDescent="0.2">
      <c r="A142" s="121" t="s">
        <v>9</v>
      </c>
      <c r="B142" s="7">
        <f>IF(B141="None",0,IF($I$112&lt;1,1,$I$112))</f>
        <v>4</v>
      </c>
      <c r="C142" s="6"/>
      <c r="D142" s="6"/>
      <c r="E142" s="6"/>
      <c r="F142" s="6"/>
      <c r="G142" s="6"/>
      <c r="AJ142" s="14"/>
    </row>
    <row r="143" spans="1:45" x14ac:dyDescent="0.2">
      <c r="A143" s="121" t="s">
        <v>8</v>
      </c>
      <c r="B143" s="7">
        <f>VLOOKUP($B$141,$Y$40:$AC$46,3,FALSE)</f>
        <v>16</v>
      </c>
      <c r="C143" s="6"/>
      <c r="D143" s="6"/>
      <c r="E143" s="6"/>
      <c r="F143" s="6"/>
      <c r="G143" s="6"/>
      <c r="AJ143" s="14"/>
    </row>
    <row r="144" spans="1:45" x14ac:dyDescent="0.2">
      <c r="A144" s="121" t="s">
        <v>7</v>
      </c>
      <c r="B144" s="7">
        <f>VLOOKUP($B$141,$Y$40:$AC$46,4,FALSE)</f>
        <v>5</v>
      </c>
      <c r="C144" s="9" t="str">
        <f>IF($B$5&gt;$B$144,"Ship Too Large for Selected Cloaking Device", "Meets Size Requirement")</f>
        <v>Meets Size Requirement</v>
      </c>
      <c r="D144" s="8"/>
      <c r="E144" s="6"/>
      <c r="F144" s="6"/>
      <c r="G144" s="6"/>
      <c r="AJ144" s="14"/>
    </row>
    <row r="145" spans="1:36" x14ac:dyDescent="0.2">
      <c r="A145" s="121" t="s">
        <v>6</v>
      </c>
      <c r="B145" s="7" t="str">
        <f>VLOOKUP($B$141,$Y$40:$AD$46,5,FALSE)</f>
        <v xml:space="preserve"> </v>
      </c>
      <c r="C145" s="6"/>
      <c r="D145" s="6"/>
      <c r="E145" s="6"/>
      <c r="F145" s="6"/>
      <c r="G145" s="6"/>
      <c r="AJ145" s="14"/>
    </row>
    <row r="146" spans="1:36" x14ac:dyDescent="0.2">
      <c r="A146" s="121"/>
      <c r="B146" s="7" t="str">
        <f>VLOOKUP($B$141,$Y$40:$AD$46,6,FALSE)</f>
        <v>Scouts &amp; Frigates pay -1 (min. 1)</v>
      </c>
      <c r="C146" s="6"/>
      <c r="D146" s="6"/>
      <c r="E146" s="6"/>
      <c r="F146" s="6"/>
      <c r="G146" s="6"/>
      <c r="AJ146" s="14"/>
    </row>
    <row r="147" spans="1:36" x14ac:dyDescent="0.2">
      <c r="A147" s="121" t="s">
        <v>867</v>
      </c>
      <c r="B147" s="6"/>
      <c r="C147" s="6"/>
      <c r="D147" s="6"/>
      <c r="E147" s="6"/>
      <c r="F147" s="6"/>
      <c r="G147" s="6"/>
      <c r="AJ147" s="14"/>
    </row>
    <row r="148" spans="1:36" x14ac:dyDescent="0.2">
      <c r="A148" s="121" t="s">
        <v>869</v>
      </c>
      <c r="B148" s="7" t="str">
        <f>IF(B5&gt;=3,B5*10,B5) &amp;"+"&amp;D148</f>
        <v>40+20</v>
      </c>
      <c r="C148" s="121" t="s">
        <v>868</v>
      </c>
      <c r="D148" s="49">
        <v>20</v>
      </c>
      <c r="E148" s="121" t="s">
        <v>870</v>
      </c>
      <c r="F148" s="7" t="str">
        <f>((B5*10)+D148)*25 &amp;" m3"</f>
        <v>1500 m3</v>
      </c>
      <c r="G148" s="6"/>
      <c r="AJ148" s="14"/>
    </row>
    <row r="149" spans="1:36" x14ac:dyDescent="0.2">
      <c r="A149" s="121" t="s">
        <v>9</v>
      </c>
      <c r="B149" s="7">
        <f>IF(B5&lt;3,D148,IF(B2="Support/Auxiliary",ROUNDUP(D148/10,1),D148/5))</f>
        <v>4</v>
      </c>
      <c r="C149" s="94"/>
      <c r="D149" s="96" t="s">
        <v>893</v>
      </c>
      <c r="E149" s="121" t="s">
        <v>901</v>
      </c>
      <c r="F149" s="7">
        <f>(((B5*10)+D148)*25)/50</f>
        <v>30</v>
      </c>
      <c r="G149" s="6"/>
      <c r="AJ149" s="14"/>
    </row>
    <row r="150" spans="1:36" x14ac:dyDescent="0.2">
      <c r="A150" s="5"/>
      <c r="B150" s="98"/>
      <c r="C150" s="5"/>
      <c r="D150" s="5"/>
      <c r="E150" s="5"/>
      <c r="F150" s="5"/>
      <c r="G150" s="5"/>
      <c r="AJ150" s="14"/>
    </row>
    <row r="151" spans="1:36" x14ac:dyDescent="0.2">
      <c r="A151" s="105"/>
      <c r="AJ151" s="14"/>
    </row>
    <row r="152" spans="1:36" x14ac:dyDescent="0.2">
      <c r="A152" s="105"/>
      <c r="AE152" s="1"/>
      <c r="AF152" s="1"/>
      <c r="AG152" s="1"/>
      <c r="AH152" s="1"/>
      <c r="AJ152" s="14"/>
    </row>
    <row r="153" spans="1:36" x14ac:dyDescent="0.2">
      <c r="A153" s="105"/>
      <c r="AE153" s="1"/>
      <c r="AF153" s="1"/>
      <c r="AG153" s="1"/>
      <c r="AH153" s="1"/>
      <c r="AJ153" s="14"/>
    </row>
    <row r="154" spans="1:36" x14ac:dyDescent="0.2">
      <c r="A154" s="105"/>
      <c r="AJ154" s="14"/>
    </row>
    <row r="155" spans="1:36" x14ac:dyDescent="0.2">
      <c r="A155" s="105"/>
      <c r="AJ155" s="14"/>
    </row>
    <row r="156" spans="1:36" x14ac:dyDescent="0.2">
      <c r="A156" s="105"/>
      <c r="AJ156" s="14"/>
    </row>
    <row r="157" spans="1:36" x14ac:dyDescent="0.2">
      <c r="A157" s="106"/>
      <c r="AJ157" s="14"/>
    </row>
    <row r="158" spans="1:36" x14ac:dyDescent="0.2">
      <c r="A158" s="106"/>
      <c r="AJ158" s="14"/>
    </row>
    <row r="159" spans="1:36" x14ac:dyDescent="0.2">
      <c r="A159" s="105"/>
      <c r="AJ159" s="14"/>
    </row>
    <row r="160" spans="1:36" x14ac:dyDescent="0.2">
      <c r="A160" s="105"/>
      <c r="AJ160" s="14"/>
    </row>
    <row r="161" spans="1:45" x14ac:dyDescent="0.2">
      <c r="A161" s="106"/>
      <c r="AJ161" s="14"/>
    </row>
    <row r="162" spans="1:45" x14ac:dyDescent="0.2">
      <c r="AJ162" s="14"/>
    </row>
    <row r="163" spans="1:45" x14ac:dyDescent="0.2">
      <c r="AJ163" s="14"/>
    </row>
    <row r="164" spans="1:45" x14ac:dyDescent="0.2">
      <c r="AJ164" s="14"/>
    </row>
    <row r="165" spans="1:45" x14ac:dyDescent="0.2">
      <c r="AJ165" s="14"/>
    </row>
    <row r="166" spans="1:45" x14ac:dyDescent="0.2">
      <c r="AJ166" s="14"/>
    </row>
    <row r="167" spans="1:45" x14ac:dyDescent="0.2">
      <c r="AJ167" s="14"/>
    </row>
    <row r="172" spans="1:45" x14ac:dyDescent="0.2">
      <c r="AS172" s="88"/>
    </row>
  </sheetData>
  <mergeCells count="14">
    <mergeCell ref="D13:E13"/>
    <mergeCell ref="A36:D36"/>
    <mergeCell ref="A28:D28"/>
    <mergeCell ref="A22:D22"/>
    <mergeCell ref="A16:D16"/>
    <mergeCell ref="B18:C18"/>
    <mergeCell ref="B24:C24"/>
    <mergeCell ref="A125:D125"/>
    <mergeCell ref="A104:D104"/>
    <mergeCell ref="A80:D80"/>
    <mergeCell ref="A45:D45"/>
    <mergeCell ref="A53:D53"/>
    <mergeCell ref="A117:D117"/>
    <mergeCell ref="A100:D100"/>
  </mergeCells>
  <phoneticPr fontId="13" type="noConversion"/>
  <dataValidations count="16">
    <dataValidation type="list" allowBlank="1" showInputMessage="1" showErrorMessage="1" sqref="B118">
      <formula1>$AJ$3:$AJ$63</formula1>
    </dataValidation>
    <dataValidation type="list" allowBlank="1" showInputMessage="1" showErrorMessage="1" sqref="B141">
      <formula1>$Y$41:$Y$46</formula1>
    </dataValidation>
    <dataValidation type="list" allowBlank="1" showInputMessage="1" showErrorMessage="1" sqref="B127">
      <formula1>$H$115:$H$117</formula1>
    </dataValidation>
    <dataValidation type="list" allowBlank="1" showInputMessage="1" showErrorMessage="1" sqref="B126">
      <formula1>$H$120:$H$121</formula1>
    </dataValidation>
    <dataValidation type="list" allowBlank="1" showInputMessage="1" showErrorMessage="1" sqref="B105">
      <formula1>$K$17:$K$20</formula1>
    </dataValidation>
    <dataValidation type="list" allowBlank="1" showInputMessage="1" showErrorMessage="1" sqref="B66 B54">
      <formula1>$O$3:$O$22</formula1>
    </dataValidation>
    <dataValidation type="list" allowBlank="1" showInputMessage="1" showErrorMessage="1" sqref="B30">
      <formula1>$K$49:$K$53</formula1>
    </dataValidation>
    <dataValidation type="list" allowBlank="1" showInputMessage="1" showErrorMessage="1" sqref="B24 B18">
      <formula1>$K$41:$K$45</formula1>
    </dataValidation>
    <dataValidation type="list" allowBlank="1" showInputMessage="1" showErrorMessage="1" sqref="B81 B91">
      <formula1>$O$25:$O$40</formula1>
    </dataValidation>
    <dataValidation type="list" allowBlank="1" showInputMessage="1" showErrorMessage="1" sqref="B46">
      <formula1>$K$81:$K$91</formula1>
    </dataValidation>
    <dataValidation type="list" allowBlank="1" showInputMessage="1" showErrorMessage="1" sqref="B38">
      <formula1>$K$56:$K$65</formula1>
    </dataValidation>
    <dataValidation type="list" allowBlank="1" showInputMessage="1" showErrorMessage="1" sqref="D7:D8 B13">
      <formula1>$H$25:$H$75</formula1>
    </dataValidation>
    <dataValidation type="list" allowBlank="1" showInputMessage="1" showErrorMessage="1" sqref="B4">
      <formula1>$R$43:$R$92</formula1>
    </dataValidation>
    <dataValidation type="list" allowBlank="1" showInputMessage="1" showErrorMessage="1" sqref="D14">
      <formula1>$I$26:$I$35</formula1>
    </dataValidation>
    <dataValidation type="list" allowBlank="1" showInputMessage="1" showErrorMessage="1" sqref="B5">
      <formula1>$K$4:$K$13</formula1>
    </dataValidation>
    <dataValidation type="list" allowBlank="1" showInputMessage="1" showErrorMessage="1" sqref="B2">
      <formula1>"Warship,Explorer,Cruiser, Destroyer,Escort,Frigate,Scout,Specialized,Support/Auxiliary"</formula1>
    </dataValidation>
  </dataValidations>
  <pageMargins left="0.75" right="0.75" top="1" bottom="1" header="0.5" footer="0.5"/>
  <pageSetup orientation="portrait" horizontalDpi="4294967293"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workbookViewId="0"/>
  </sheetViews>
  <sheetFormatPr defaultRowHeight="12.75" x14ac:dyDescent="0.2"/>
  <cols>
    <col min="1" max="1" width="25.5703125" customWidth="1"/>
    <col min="2" max="2" width="17.7109375" customWidth="1"/>
  </cols>
  <sheetData>
    <row r="1" spans="1:2" x14ac:dyDescent="0.2">
      <c r="A1" s="76" t="s">
        <v>902</v>
      </c>
    </row>
    <row r="3" spans="1:2" x14ac:dyDescent="0.2">
      <c r="A3" t="s">
        <v>903</v>
      </c>
      <c r="B3" t="str">
        <f>'Example Ship'!D1</f>
        <v>Klingon Empire</v>
      </c>
    </row>
    <row r="4" spans="1:2" x14ac:dyDescent="0.2">
      <c r="A4" t="s">
        <v>904</v>
      </c>
    </row>
    <row r="5" spans="1:2" x14ac:dyDescent="0.2">
      <c r="A5" t="s">
        <v>905</v>
      </c>
    </row>
    <row r="7" spans="1:2" x14ac:dyDescent="0.2">
      <c r="A7" s="76" t="s">
        <v>906</v>
      </c>
    </row>
    <row r="9" spans="1:2" x14ac:dyDescent="0.2">
      <c r="A9" t="s">
        <v>907</v>
      </c>
      <c r="B9" s="102">
        <f>'Example Ship'!B8</f>
        <v>20</v>
      </c>
    </row>
    <row r="10" spans="1:2" x14ac:dyDescent="0.2">
      <c r="A10" t="s">
        <v>908</v>
      </c>
      <c r="B10" t="str">
        <f>'Example Ship'!B5 &amp;"/" &amp;'Example Ship'!B13</f>
        <v>4/5</v>
      </c>
    </row>
    <row r="11" spans="1:2" x14ac:dyDescent="0.2">
      <c r="A11" t="s">
        <v>909</v>
      </c>
      <c r="B11" t="str">
        <f>'Example Ship'!B9 &amp;"/" &amp;'Example Ship'!D9 &amp; "/" &amp;'Example Ship'!F9 &amp;" meters"</f>
        <v>110/21/161 meters</v>
      </c>
    </row>
    <row r="12" spans="1:2" x14ac:dyDescent="0.2">
      <c r="A12" t="s">
        <v>910</v>
      </c>
      <c r="B12" s="102">
        <f>'Example Ship'!B14</f>
        <v>75</v>
      </c>
    </row>
    <row r="14" spans="1:2" x14ac:dyDescent="0.2">
      <c r="A14" s="76" t="s">
        <v>911</v>
      </c>
    </row>
    <row r="16" spans="1:2" x14ac:dyDescent="0.2">
      <c r="A16" t="s">
        <v>912</v>
      </c>
    </row>
    <row r="17" spans="1:2" x14ac:dyDescent="0.2">
      <c r="A17" t="s">
        <v>913</v>
      </c>
    </row>
    <row r="18" spans="1:2" x14ac:dyDescent="0.2">
      <c r="A18" t="s">
        <v>914</v>
      </c>
    </row>
    <row r="19" spans="1:2" x14ac:dyDescent="0.2">
      <c r="A19" t="s">
        <v>915</v>
      </c>
    </row>
    <row r="20" spans="1:2" x14ac:dyDescent="0.2">
      <c r="A20" t="s">
        <v>916</v>
      </c>
    </row>
    <row r="21" spans="1:2" x14ac:dyDescent="0.2">
      <c r="A21" t="s">
        <v>917</v>
      </c>
      <c r="B21" t="str">
        <f>'Example Ship'!B127</f>
        <v>None</v>
      </c>
    </row>
    <row r="22" spans="1:2" x14ac:dyDescent="0.2">
      <c r="A22" t="s">
        <v>918</v>
      </c>
      <c r="B22" t="str">
        <f>'Example Ship'!B126</f>
        <v>Yes</v>
      </c>
    </row>
    <row r="23" spans="1:2" x14ac:dyDescent="0.2">
      <c r="A23" t="s">
        <v>919</v>
      </c>
      <c r="B23" t="str">
        <f>'Example Ship'!B141</f>
        <v>Class 1 (KCA, KCB, KCC; RCA, RCB, RCC)</v>
      </c>
    </row>
    <row r="24" spans="1:2" x14ac:dyDescent="0.2">
      <c r="A24" t="s">
        <v>920</v>
      </c>
      <c r="B24" t="str">
        <f>'Example Ship'!B30</f>
        <v>Class 2</v>
      </c>
    </row>
    <row r="25" spans="1:2" x14ac:dyDescent="0.2">
      <c r="A25" t="s">
        <v>921</v>
      </c>
      <c r="B25" t="str">
        <f>'Example Ship'!B18:C18</f>
        <v>Class 4 (M-3, M-4, M-6, M-7, M-8; ZD-5, ZD-6, ZD-7, ZD-8; R4M, R5M, R6M, R6M-1)</v>
      </c>
    </row>
    <row r="26" spans="1:2" x14ac:dyDescent="0.2">
      <c r="A26" t="s">
        <v>922</v>
      </c>
      <c r="B26" t="str">
        <f>'Example Ship'!B24:C24</f>
        <v>Class 3 (M-1, M-2; ZD-4; ZD-5, ZD-6; R4M, R5M)</v>
      </c>
    </row>
    <row r="28" spans="1:2" x14ac:dyDescent="0.2">
      <c r="A28" s="76" t="s">
        <v>923</v>
      </c>
    </row>
    <row r="30" spans="1:2" x14ac:dyDescent="0.2">
      <c r="A30" t="s">
        <v>924</v>
      </c>
      <c r="B30" t="str">
        <f>'Example Ship'!B38</f>
        <v>FIE; KIE; RID (Type IV)</v>
      </c>
    </row>
    <row r="31" spans="1:2" x14ac:dyDescent="0.2">
      <c r="A31" t="s">
        <v>925</v>
      </c>
      <c r="B31" t="str">
        <f>'Example Ship'!B46</f>
        <v>FWC; KWC; RWD (Type V)</v>
      </c>
    </row>
    <row r="33" spans="1:2" x14ac:dyDescent="0.2">
      <c r="A33" s="76" t="s">
        <v>926</v>
      </c>
    </row>
    <row r="35" spans="1:2" x14ac:dyDescent="0.2">
      <c r="A35" t="s">
        <v>927</v>
      </c>
      <c r="B35" t="str">
        <f>'Example Ship'!B54</f>
        <v>FH-9, FH-12; KD-6, KD-9, KD-13; RB-5, RB-6</v>
      </c>
    </row>
    <row r="36" spans="1:2" x14ac:dyDescent="0.2">
      <c r="A36" t="s">
        <v>928</v>
      </c>
      <c r="B36" t="str">
        <f>'Example Ship'!B77</f>
        <v>4/4/4/0/0</v>
      </c>
    </row>
    <row r="37" spans="1:2" x14ac:dyDescent="0.2">
      <c r="A37" t="s">
        <v>929</v>
      </c>
      <c r="B37" t="str">
        <f>'Example Ship'!B81</f>
        <v>FP-1, FP-7; KP-2, KP-5; RP-3</v>
      </c>
    </row>
    <row r="38" spans="1:2" x14ac:dyDescent="0.2">
      <c r="A38" t="s">
        <v>928</v>
      </c>
      <c r="B38" t="str">
        <f>'Example Ship'!B101</f>
        <v>3/3/3/3/3</v>
      </c>
    </row>
    <row r="39" spans="1:2" x14ac:dyDescent="0.2">
      <c r="A39" t="s">
        <v>930</v>
      </c>
      <c r="B39" t="str">
        <f>'Example Ship'!B118</f>
        <v>KSO (Class 2)</v>
      </c>
    </row>
    <row r="40" spans="1:2" x14ac:dyDescent="0.2">
      <c r="A40" t="s">
        <v>931</v>
      </c>
      <c r="B40" t="str">
        <f>'Example Ship'!B120 &amp;"/" &amp;'Example Ship'!B121</f>
        <v>12/1</v>
      </c>
    </row>
    <row r="42" spans="1:2" x14ac:dyDescent="0.2">
      <c r="A42" s="76" t="s">
        <v>932</v>
      </c>
    </row>
    <row r="44" spans="1:2" x14ac:dyDescent="0.2">
      <c r="A44" t="s">
        <v>933</v>
      </c>
    </row>
    <row r="45" spans="1:2" x14ac:dyDescent="0.2">
      <c r="A45" t="s">
        <v>934</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3"/>
  <sheetViews>
    <sheetView zoomScaleNormal="100" workbookViewId="0"/>
  </sheetViews>
  <sheetFormatPr defaultRowHeight="12.75" x14ac:dyDescent="0.2"/>
  <cols>
    <col min="2" max="2" width="16" customWidth="1"/>
    <col min="3" max="3" width="16.85546875" customWidth="1"/>
    <col min="5" max="5" width="13.28515625" customWidth="1"/>
    <col min="6" max="6" width="15" customWidth="1"/>
    <col min="7" max="7" width="13.5703125" customWidth="1"/>
    <col min="8" max="8" width="14.7109375" customWidth="1"/>
    <col min="10" max="10" width="32" customWidth="1"/>
    <col min="11" max="11" width="18.85546875" customWidth="1"/>
    <col min="12" max="12" width="13.5703125" customWidth="1"/>
    <col min="13" max="13" width="28.7109375" customWidth="1"/>
    <col min="14" max="14" width="22.42578125" customWidth="1"/>
    <col min="16" max="16" width="13.5703125" customWidth="1"/>
    <col min="17" max="17" width="13.85546875" customWidth="1"/>
    <col min="18" max="18" width="12.85546875" customWidth="1"/>
    <col min="19" max="19" width="12" customWidth="1"/>
    <col min="22" max="22" width="12" customWidth="1"/>
    <col min="24" max="24" width="23.42578125" customWidth="1"/>
  </cols>
  <sheetData>
    <row r="1" spans="1:18" ht="15" x14ac:dyDescent="0.25">
      <c r="A1" s="66" t="s">
        <v>154</v>
      </c>
      <c r="B1" s="66" t="s">
        <v>562</v>
      </c>
      <c r="C1" s="66" t="s">
        <v>654</v>
      </c>
      <c r="D1" s="66" t="s">
        <v>154</v>
      </c>
      <c r="E1" s="66" t="s">
        <v>562</v>
      </c>
      <c r="F1" s="66" t="s">
        <v>654</v>
      </c>
      <c r="G1" s="66" t="s">
        <v>154</v>
      </c>
      <c r="H1" s="66" t="s">
        <v>562</v>
      </c>
      <c r="I1" s="66" t="s">
        <v>654</v>
      </c>
      <c r="J1" s="66" t="s">
        <v>652</v>
      </c>
      <c r="K1" s="66" t="s">
        <v>115</v>
      </c>
    </row>
    <row r="2" spans="1:18" x14ac:dyDescent="0.2">
      <c r="A2" s="14" t="s">
        <v>721</v>
      </c>
      <c r="B2" s="14" t="s">
        <v>715</v>
      </c>
      <c r="C2" s="14" t="s">
        <v>720</v>
      </c>
      <c r="D2" s="14" t="s">
        <v>719</v>
      </c>
      <c r="E2" s="14" t="s">
        <v>718</v>
      </c>
      <c r="F2" s="14" t="s">
        <v>717</v>
      </c>
      <c r="G2" s="14" t="s">
        <v>716</v>
      </c>
      <c r="H2" s="14" t="s">
        <v>715</v>
      </c>
      <c r="I2" s="14" t="s">
        <v>714</v>
      </c>
      <c r="J2" s="14" t="s">
        <v>713</v>
      </c>
      <c r="K2" s="14" t="s">
        <v>517</v>
      </c>
      <c r="L2" s="14"/>
      <c r="M2" s="14"/>
      <c r="N2" s="14"/>
      <c r="O2" s="58" t="s">
        <v>712</v>
      </c>
      <c r="P2" s="58"/>
      <c r="Q2" s="58"/>
      <c r="R2" s="14"/>
    </row>
    <row r="3" spans="1:18" x14ac:dyDescent="0.2">
      <c r="A3" s="14" t="s">
        <v>711</v>
      </c>
      <c r="B3" s="14" t="s">
        <v>710</v>
      </c>
      <c r="C3" s="14" t="s">
        <v>709</v>
      </c>
      <c r="D3" s="14" t="s">
        <v>708</v>
      </c>
      <c r="E3" s="14" t="s">
        <v>707</v>
      </c>
      <c r="F3" s="14" t="s">
        <v>706</v>
      </c>
      <c r="G3" s="14" t="s">
        <v>705</v>
      </c>
      <c r="H3" s="14" t="s">
        <v>704</v>
      </c>
      <c r="I3" s="14" t="s">
        <v>703</v>
      </c>
      <c r="J3" s="14" t="s">
        <v>89</v>
      </c>
      <c r="K3" s="14" t="s">
        <v>495</v>
      </c>
      <c r="L3" s="14"/>
      <c r="M3" s="14"/>
      <c r="N3" s="14"/>
      <c r="O3" s="59" t="s">
        <v>702</v>
      </c>
      <c r="P3" s="59"/>
      <c r="Q3" s="59"/>
      <c r="R3" s="14"/>
    </row>
    <row r="4" spans="1:18" x14ac:dyDescent="0.2">
      <c r="A4" s="14" t="s">
        <v>701</v>
      </c>
      <c r="B4" s="14" t="s">
        <v>700</v>
      </c>
      <c r="C4" s="14" t="s">
        <v>699</v>
      </c>
      <c r="D4" s="14" t="s">
        <v>698</v>
      </c>
      <c r="E4" s="14" t="s">
        <v>697</v>
      </c>
      <c r="F4" s="14" t="s">
        <v>696</v>
      </c>
      <c r="G4" s="14" t="s">
        <v>695</v>
      </c>
      <c r="H4" s="14" t="s">
        <v>694</v>
      </c>
      <c r="I4" s="14" t="s">
        <v>687</v>
      </c>
      <c r="J4" s="14" t="s">
        <v>693</v>
      </c>
      <c r="K4" s="14" t="s">
        <v>491</v>
      </c>
      <c r="L4" s="14"/>
      <c r="M4" s="14"/>
      <c r="N4" s="14"/>
      <c r="O4" s="125" t="s">
        <v>692</v>
      </c>
      <c r="P4" s="65"/>
      <c r="Q4" s="65"/>
      <c r="R4" s="65"/>
    </row>
    <row r="5" spans="1:18" x14ac:dyDescent="0.2">
      <c r="A5" s="14" t="s">
        <v>691</v>
      </c>
      <c r="B5" s="14" t="s">
        <v>690</v>
      </c>
      <c r="C5" s="14" t="s">
        <v>668</v>
      </c>
      <c r="D5" s="14" t="s">
        <v>689</v>
      </c>
      <c r="E5" s="14" t="s">
        <v>688</v>
      </c>
      <c r="F5" s="14" t="s">
        <v>687</v>
      </c>
      <c r="G5" s="14" t="s">
        <v>686</v>
      </c>
      <c r="H5" s="14" t="s">
        <v>685</v>
      </c>
      <c r="I5" s="14" t="s">
        <v>684</v>
      </c>
      <c r="J5" s="14" t="s">
        <v>83</v>
      </c>
      <c r="K5" s="14" t="s">
        <v>491</v>
      </c>
      <c r="L5" s="14"/>
      <c r="M5" s="14"/>
      <c r="N5" s="14"/>
      <c r="O5" s="14" t="s">
        <v>683</v>
      </c>
      <c r="P5" s="14"/>
      <c r="Q5" s="14"/>
      <c r="R5" s="14"/>
    </row>
    <row r="6" spans="1:18" x14ac:dyDescent="0.2">
      <c r="A6" s="34" t="s">
        <v>682</v>
      </c>
      <c r="B6" s="14" t="s">
        <v>681</v>
      </c>
      <c r="C6" s="14" t="s">
        <v>680</v>
      </c>
      <c r="D6" s="14" t="s">
        <v>679</v>
      </c>
      <c r="E6" s="14" t="s">
        <v>678</v>
      </c>
      <c r="F6" s="14" t="s">
        <v>677</v>
      </c>
      <c r="G6" s="14" t="s">
        <v>676</v>
      </c>
      <c r="H6" s="14" t="s">
        <v>501</v>
      </c>
      <c r="I6" s="14" t="s">
        <v>675</v>
      </c>
      <c r="J6" s="14" t="s">
        <v>83</v>
      </c>
      <c r="K6" s="14" t="s">
        <v>491</v>
      </c>
      <c r="L6" s="14"/>
      <c r="M6" s="14"/>
      <c r="N6" s="14"/>
      <c r="O6" s="14"/>
      <c r="P6" s="14"/>
      <c r="Q6" s="14"/>
      <c r="R6" s="14"/>
    </row>
    <row r="7" spans="1:18" ht="15" x14ac:dyDescent="0.25">
      <c r="A7" s="58" t="s">
        <v>674</v>
      </c>
      <c r="B7" s="58" t="s">
        <v>473</v>
      </c>
      <c r="C7" s="58" t="s">
        <v>673</v>
      </c>
      <c r="D7" s="58" t="s">
        <v>672</v>
      </c>
      <c r="E7" s="58" t="s">
        <v>418</v>
      </c>
      <c r="F7" s="58" t="s">
        <v>671</v>
      </c>
      <c r="G7" s="58" t="s">
        <v>670</v>
      </c>
      <c r="H7" s="58" t="s">
        <v>669</v>
      </c>
      <c r="I7" s="58" t="s">
        <v>668</v>
      </c>
      <c r="J7" s="58" t="s">
        <v>73</v>
      </c>
      <c r="K7" s="14" t="s">
        <v>442</v>
      </c>
      <c r="L7" s="14"/>
      <c r="M7" s="14"/>
      <c r="N7" s="14"/>
      <c r="O7" s="57" t="s">
        <v>667</v>
      </c>
      <c r="P7" s="57"/>
      <c r="Q7" s="14"/>
      <c r="R7" s="14"/>
    </row>
    <row r="8" spans="1:18" x14ac:dyDescent="0.2">
      <c r="A8" s="59" t="s">
        <v>666</v>
      </c>
      <c r="B8" s="59" t="s">
        <v>665</v>
      </c>
      <c r="C8" s="59" t="s">
        <v>664</v>
      </c>
      <c r="D8" s="59" t="s">
        <v>663</v>
      </c>
      <c r="E8" s="59" t="s">
        <v>662</v>
      </c>
      <c r="F8" s="59" t="s">
        <v>661</v>
      </c>
      <c r="G8" s="59" t="s">
        <v>660</v>
      </c>
      <c r="H8" s="59" t="s">
        <v>486</v>
      </c>
      <c r="I8" s="59" t="s">
        <v>659</v>
      </c>
      <c r="J8" s="59" t="s">
        <v>66</v>
      </c>
      <c r="K8" s="14" t="s">
        <v>413</v>
      </c>
      <c r="L8" s="14"/>
      <c r="M8" s="14"/>
      <c r="N8" s="14"/>
      <c r="O8" s="14"/>
      <c r="P8" s="14"/>
      <c r="Q8" s="14"/>
      <c r="R8" s="14"/>
    </row>
    <row r="9" spans="1:18" x14ac:dyDescent="0.2">
      <c r="A9" s="14" t="s">
        <v>94</v>
      </c>
      <c r="B9" s="14" t="s">
        <v>413</v>
      </c>
      <c r="C9" s="14" t="s">
        <v>658</v>
      </c>
      <c r="D9" s="14"/>
      <c r="E9" s="14"/>
      <c r="F9" s="14"/>
      <c r="G9" s="14"/>
      <c r="H9" s="14"/>
      <c r="I9" s="14"/>
      <c r="J9" s="14" t="s">
        <v>95</v>
      </c>
      <c r="K9" s="14" t="s">
        <v>442</v>
      </c>
      <c r="L9" s="14"/>
      <c r="M9" s="14"/>
      <c r="N9" s="14"/>
      <c r="O9" s="14"/>
      <c r="P9" s="14"/>
      <c r="Q9" s="14"/>
      <c r="R9" s="14"/>
    </row>
    <row r="10" spans="1:18" x14ac:dyDescent="0.2">
      <c r="A10" s="14" t="s">
        <v>105</v>
      </c>
      <c r="B10" s="14" t="s">
        <v>316</v>
      </c>
      <c r="C10" s="14" t="s">
        <v>657</v>
      </c>
      <c r="D10" s="14"/>
      <c r="E10" s="14"/>
      <c r="F10" s="14"/>
      <c r="G10" s="14"/>
      <c r="H10" s="14"/>
      <c r="I10" s="14"/>
      <c r="J10" s="14" t="s">
        <v>106</v>
      </c>
      <c r="K10" s="14" t="s">
        <v>316</v>
      </c>
      <c r="L10" s="14"/>
      <c r="M10" s="14"/>
      <c r="N10" s="14"/>
      <c r="O10" s="14"/>
      <c r="P10" s="14"/>
      <c r="Q10" s="14"/>
      <c r="R10" s="14"/>
    </row>
    <row r="11" spans="1:18" x14ac:dyDescent="0.2">
      <c r="A11" s="125" t="s">
        <v>62</v>
      </c>
      <c r="B11" s="125" t="s">
        <v>656</v>
      </c>
      <c r="C11" s="125" t="s">
        <v>655</v>
      </c>
      <c r="D11" s="125"/>
      <c r="E11" s="125"/>
      <c r="F11" s="125"/>
      <c r="G11" s="125"/>
      <c r="H11" s="125"/>
      <c r="I11" s="125"/>
      <c r="J11" s="125" t="s">
        <v>66</v>
      </c>
      <c r="K11" s="14" t="s">
        <v>413</v>
      </c>
      <c r="L11" s="14"/>
      <c r="M11" s="14"/>
      <c r="N11" s="14"/>
      <c r="O11" s="14"/>
      <c r="P11" s="14"/>
      <c r="Q11" s="14"/>
      <c r="R11" s="14"/>
    </row>
    <row r="12" spans="1:18" x14ac:dyDescent="0.2">
      <c r="A12" s="14" t="s">
        <v>935</v>
      </c>
      <c r="B12" s="14" t="s">
        <v>718</v>
      </c>
      <c r="C12" s="14" t="s">
        <v>936</v>
      </c>
      <c r="D12" s="14"/>
      <c r="E12" s="14"/>
      <c r="F12" s="14"/>
      <c r="G12" s="14"/>
      <c r="H12" s="14"/>
      <c r="I12" s="14"/>
      <c r="J12" s="14" t="s">
        <v>101</v>
      </c>
      <c r="K12" s="14" t="s">
        <v>517</v>
      </c>
      <c r="L12" s="14"/>
      <c r="M12" s="14"/>
      <c r="N12" s="14"/>
      <c r="O12" s="14"/>
      <c r="P12" s="14"/>
      <c r="Q12" s="14"/>
      <c r="R12" s="14"/>
    </row>
    <row r="13" spans="1:18" ht="15" x14ac:dyDescent="0.25">
      <c r="A13" s="66" t="s">
        <v>154</v>
      </c>
      <c r="B13" s="66" t="s">
        <v>562</v>
      </c>
      <c r="C13" s="66" t="s">
        <v>654</v>
      </c>
      <c r="D13" s="67" t="s">
        <v>653</v>
      </c>
      <c r="E13" s="66" t="s">
        <v>154</v>
      </c>
      <c r="F13" s="66" t="s">
        <v>562</v>
      </c>
      <c r="G13" s="66" t="s">
        <v>654</v>
      </c>
      <c r="H13" s="67" t="s">
        <v>653</v>
      </c>
      <c r="I13" s="66" t="s">
        <v>154</v>
      </c>
      <c r="J13" s="66" t="s">
        <v>562</v>
      </c>
      <c r="K13" s="66" t="s">
        <v>654</v>
      </c>
      <c r="L13" s="67" t="s">
        <v>653</v>
      </c>
      <c r="M13" s="66" t="s">
        <v>652</v>
      </c>
      <c r="N13" s="66" t="s">
        <v>115</v>
      </c>
      <c r="O13" s="14"/>
      <c r="P13" s="14"/>
      <c r="Q13" s="14"/>
      <c r="R13" s="14"/>
    </row>
    <row r="14" spans="1:18" x14ac:dyDescent="0.2">
      <c r="A14" s="14" t="s">
        <v>651</v>
      </c>
      <c r="B14" s="14" t="s">
        <v>645</v>
      </c>
      <c r="C14" s="14" t="s">
        <v>650</v>
      </c>
      <c r="D14" s="14" t="s">
        <v>643</v>
      </c>
      <c r="E14" s="14" t="s">
        <v>649</v>
      </c>
      <c r="F14" s="14" t="s">
        <v>645</v>
      </c>
      <c r="G14" s="14" t="s">
        <v>648</v>
      </c>
      <c r="H14" s="14" t="s">
        <v>647</v>
      </c>
      <c r="I14" s="14" t="s">
        <v>646</v>
      </c>
      <c r="J14" s="14" t="s">
        <v>645</v>
      </c>
      <c r="K14" s="14" t="s">
        <v>644</v>
      </c>
      <c r="L14" s="14" t="s">
        <v>643</v>
      </c>
      <c r="M14" s="14" t="s">
        <v>101</v>
      </c>
      <c r="N14" s="14" t="s">
        <v>517</v>
      </c>
      <c r="O14" s="14"/>
      <c r="P14" s="14"/>
      <c r="Q14" s="14"/>
      <c r="R14" s="14"/>
    </row>
    <row r="15" spans="1:18" x14ac:dyDescent="0.2">
      <c r="A15" s="14" t="s">
        <v>642</v>
      </c>
      <c r="B15" s="14" t="s">
        <v>641</v>
      </c>
      <c r="C15" s="14" t="s">
        <v>640</v>
      </c>
      <c r="D15" s="14" t="s">
        <v>639</v>
      </c>
      <c r="E15" s="14" t="s">
        <v>638</v>
      </c>
      <c r="F15" s="14" t="s">
        <v>637</v>
      </c>
      <c r="G15" s="14" t="s">
        <v>636</v>
      </c>
      <c r="H15" s="14" t="s">
        <v>635</v>
      </c>
      <c r="I15" s="14" t="s">
        <v>634</v>
      </c>
      <c r="J15" s="14" t="s">
        <v>633</v>
      </c>
      <c r="K15" s="14" t="s">
        <v>632</v>
      </c>
      <c r="L15" s="14" t="s">
        <v>631</v>
      </c>
      <c r="M15" s="14" t="s">
        <v>199</v>
      </c>
      <c r="N15" s="14" t="s">
        <v>442</v>
      </c>
      <c r="O15" s="14"/>
      <c r="P15" s="14"/>
      <c r="Q15" s="14"/>
      <c r="R15" s="14"/>
    </row>
    <row r="16" spans="1:18" x14ac:dyDescent="0.2">
      <c r="A16" s="14" t="s">
        <v>630</v>
      </c>
      <c r="B16" s="14" t="s">
        <v>629</v>
      </c>
      <c r="C16" s="14" t="s">
        <v>628</v>
      </c>
      <c r="D16" s="14" t="s">
        <v>627</v>
      </c>
      <c r="E16" s="14" t="s">
        <v>626</v>
      </c>
      <c r="F16" s="14" t="s">
        <v>625</v>
      </c>
      <c r="G16" s="14" t="s">
        <v>624</v>
      </c>
      <c r="H16" s="14" t="s">
        <v>623</v>
      </c>
      <c r="I16" s="14" t="s">
        <v>622</v>
      </c>
      <c r="J16" s="14" t="s">
        <v>621</v>
      </c>
      <c r="K16" s="14" t="s">
        <v>620</v>
      </c>
      <c r="L16" s="14" t="s">
        <v>619</v>
      </c>
      <c r="M16" s="34" t="s">
        <v>618</v>
      </c>
      <c r="N16" s="34" t="s">
        <v>495</v>
      </c>
      <c r="O16" s="14"/>
      <c r="P16" s="14"/>
      <c r="Q16" s="14"/>
      <c r="R16" s="14"/>
    </row>
    <row r="17" spans="1:24" x14ac:dyDescent="0.2">
      <c r="A17" s="14" t="s">
        <v>617</v>
      </c>
      <c r="B17" s="14" t="s">
        <v>616</v>
      </c>
      <c r="C17" s="14" t="s">
        <v>615</v>
      </c>
      <c r="D17" s="14" t="s">
        <v>614</v>
      </c>
      <c r="E17" s="14" t="s">
        <v>613</v>
      </c>
      <c r="F17" s="14" t="s">
        <v>612</v>
      </c>
      <c r="G17" s="14" t="s">
        <v>611</v>
      </c>
      <c r="H17" s="14" t="s">
        <v>610</v>
      </c>
      <c r="I17" s="14"/>
      <c r="J17" s="14"/>
      <c r="K17" s="14"/>
      <c r="L17" s="14"/>
      <c r="M17" s="14" t="s">
        <v>89</v>
      </c>
      <c r="N17" s="14" t="s">
        <v>442</v>
      </c>
      <c r="O17" s="14"/>
      <c r="P17" s="14"/>
      <c r="Q17" s="14"/>
      <c r="R17" s="14"/>
    </row>
    <row r="18" spans="1:24" x14ac:dyDescent="0.2">
      <c r="A18" s="58" t="s">
        <v>609</v>
      </c>
      <c r="B18" s="58" t="s">
        <v>608</v>
      </c>
      <c r="C18" s="58" t="s">
        <v>607</v>
      </c>
      <c r="D18" s="58" t="s">
        <v>606</v>
      </c>
      <c r="E18" s="58" t="s">
        <v>605</v>
      </c>
      <c r="F18" s="58" t="s">
        <v>604</v>
      </c>
      <c r="G18" s="58" t="s">
        <v>603</v>
      </c>
      <c r="H18" s="58" t="s">
        <v>602</v>
      </c>
      <c r="I18" s="58" t="s">
        <v>601</v>
      </c>
      <c r="J18" s="58" t="s">
        <v>600</v>
      </c>
      <c r="K18" s="58" t="s">
        <v>599</v>
      </c>
      <c r="L18" s="58" t="s">
        <v>598</v>
      </c>
      <c r="M18" s="58" t="s">
        <v>83</v>
      </c>
      <c r="N18" s="14" t="s">
        <v>419</v>
      </c>
      <c r="O18" s="14"/>
      <c r="P18" s="14"/>
      <c r="Q18" s="14"/>
      <c r="R18" s="14"/>
    </row>
    <row r="19" spans="1:24" x14ac:dyDescent="0.2">
      <c r="A19" s="59" t="s">
        <v>597</v>
      </c>
      <c r="B19" s="59" t="s">
        <v>596</v>
      </c>
      <c r="C19" s="59" t="s">
        <v>595</v>
      </c>
      <c r="D19" s="59" t="s">
        <v>594</v>
      </c>
      <c r="E19" s="59" t="s">
        <v>593</v>
      </c>
      <c r="F19" s="59" t="s">
        <v>592</v>
      </c>
      <c r="G19" s="59" t="s">
        <v>591</v>
      </c>
      <c r="H19" s="59" t="s">
        <v>590</v>
      </c>
      <c r="I19" s="59" t="s">
        <v>589</v>
      </c>
      <c r="J19" s="59" t="s">
        <v>588</v>
      </c>
      <c r="K19" s="59" t="s">
        <v>587</v>
      </c>
      <c r="L19" s="59" t="s">
        <v>586</v>
      </c>
      <c r="M19" s="59" t="s">
        <v>77</v>
      </c>
      <c r="N19" s="14" t="s">
        <v>413</v>
      </c>
      <c r="O19" s="14"/>
      <c r="P19" s="14"/>
      <c r="Q19" s="14"/>
      <c r="R19" s="14"/>
    </row>
    <row r="20" spans="1:24" ht="15" x14ac:dyDescent="0.25">
      <c r="A20" s="125" t="s">
        <v>181</v>
      </c>
      <c r="B20" s="125" t="s">
        <v>585</v>
      </c>
      <c r="C20" s="125" t="s">
        <v>584</v>
      </c>
      <c r="D20" s="125" t="s">
        <v>583</v>
      </c>
      <c r="E20" s="65"/>
      <c r="F20" s="65"/>
      <c r="G20" s="65"/>
      <c r="H20" s="65"/>
      <c r="I20" s="65"/>
      <c r="J20" s="65"/>
      <c r="K20" s="65"/>
      <c r="L20" s="65"/>
      <c r="M20" s="64" t="s">
        <v>582</v>
      </c>
      <c r="N20" s="14" t="s">
        <v>413</v>
      </c>
      <c r="O20" s="14"/>
      <c r="P20" s="14"/>
      <c r="Q20" s="14"/>
      <c r="R20" s="14"/>
    </row>
    <row r="21" spans="1:24" x14ac:dyDescent="0.2">
      <c r="A21" s="14" t="s">
        <v>207</v>
      </c>
      <c r="B21" s="14" t="s">
        <v>174</v>
      </c>
      <c r="C21" s="14" t="s">
        <v>413</v>
      </c>
      <c r="D21" s="14" t="s">
        <v>394</v>
      </c>
      <c r="E21" s="14"/>
      <c r="F21" s="14"/>
      <c r="G21" s="14"/>
      <c r="H21" s="14"/>
      <c r="I21" s="14"/>
      <c r="J21" s="14"/>
      <c r="K21" s="14"/>
      <c r="L21" s="14"/>
      <c r="M21" s="14" t="s">
        <v>106</v>
      </c>
      <c r="N21" s="14" t="s">
        <v>316</v>
      </c>
      <c r="O21" s="14"/>
      <c r="P21" s="14"/>
      <c r="Q21" s="14"/>
      <c r="R21" s="14"/>
    </row>
    <row r="22" spans="1:24" x14ac:dyDescent="0.2">
      <c r="A22" s="14"/>
      <c r="B22" s="14"/>
      <c r="C22" s="14"/>
      <c r="D22" s="14"/>
      <c r="E22" s="14"/>
      <c r="F22" s="14"/>
      <c r="G22" s="14"/>
      <c r="H22" s="14"/>
      <c r="I22" s="14"/>
      <c r="J22" s="14"/>
      <c r="K22" s="14"/>
      <c r="L22" s="14"/>
      <c r="M22" s="14"/>
      <c r="N22" s="14"/>
      <c r="O22" s="14"/>
      <c r="P22" s="14"/>
      <c r="Q22" s="14"/>
      <c r="R22" s="14"/>
    </row>
    <row r="23" spans="1:24" x14ac:dyDescent="0.2">
      <c r="A23" s="60"/>
      <c r="B23" s="60" t="s">
        <v>562</v>
      </c>
      <c r="C23" s="60" t="s">
        <v>581</v>
      </c>
      <c r="D23" s="60"/>
      <c r="E23" s="60" t="s">
        <v>562</v>
      </c>
      <c r="F23" s="60" t="s">
        <v>581</v>
      </c>
      <c r="G23" s="60"/>
      <c r="H23" s="60" t="s">
        <v>562</v>
      </c>
      <c r="I23" s="60" t="s">
        <v>581</v>
      </c>
      <c r="J23" s="60" t="s">
        <v>580</v>
      </c>
      <c r="K23" s="14"/>
      <c r="L23" s="60" t="s">
        <v>562</v>
      </c>
      <c r="M23" s="60" t="s">
        <v>581</v>
      </c>
      <c r="N23" s="60" t="s">
        <v>580</v>
      </c>
      <c r="O23" s="14"/>
      <c r="P23" s="60" t="s">
        <v>562</v>
      </c>
      <c r="Q23" s="60" t="s">
        <v>581</v>
      </c>
      <c r="R23" s="34"/>
      <c r="S23" s="60" t="s">
        <v>562</v>
      </c>
      <c r="T23" s="60" t="s">
        <v>581</v>
      </c>
      <c r="V23" s="60" t="s">
        <v>562</v>
      </c>
      <c r="W23" s="60" t="s">
        <v>581</v>
      </c>
      <c r="X23" s="60" t="s">
        <v>580</v>
      </c>
    </row>
    <row r="24" spans="1:24" x14ac:dyDescent="0.2">
      <c r="A24" s="14"/>
      <c r="B24" s="14"/>
      <c r="C24" s="14"/>
      <c r="D24" s="35"/>
      <c r="E24" s="35"/>
      <c r="F24" s="35"/>
      <c r="G24" s="63" t="s">
        <v>249</v>
      </c>
      <c r="H24" s="63" t="s">
        <v>495</v>
      </c>
      <c r="I24" s="63" t="s">
        <v>572</v>
      </c>
      <c r="J24" s="63" t="s">
        <v>579</v>
      </c>
      <c r="K24" s="14"/>
      <c r="L24" s="14"/>
      <c r="M24" s="14"/>
      <c r="N24" s="14"/>
      <c r="O24" s="14"/>
      <c r="P24" s="14"/>
      <c r="Q24" s="14"/>
      <c r="R24" s="14"/>
    </row>
    <row r="25" spans="1:24" x14ac:dyDescent="0.2">
      <c r="A25" s="14"/>
      <c r="B25" s="14"/>
      <c r="C25" s="14"/>
      <c r="D25" s="62" t="s">
        <v>322</v>
      </c>
      <c r="E25" s="62" t="s">
        <v>413</v>
      </c>
      <c r="F25" s="62" t="s">
        <v>572</v>
      </c>
      <c r="G25" s="62" t="s">
        <v>242</v>
      </c>
      <c r="H25" s="62" t="s">
        <v>578</v>
      </c>
      <c r="I25" s="62" t="s">
        <v>572</v>
      </c>
      <c r="J25" s="62" t="s">
        <v>577</v>
      </c>
      <c r="K25" s="14"/>
      <c r="L25" s="14"/>
      <c r="M25" s="14"/>
      <c r="N25" s="14"/>
      <c r="O25" s="14"/>
      <c r="P25" s="14"/>
      <c r="Q25" s="14"/>
      <c r="R25" s="14"/>
    </row>
    <row r="26" spans="1:24" x14ac:dyDescent="0.2">
      <c r="A26" s="14"/>
      <c r="B26" s="14"/>
      <c r="C26" s="14"/>
      <c r="D26" s="62" t="s">
        <v>319</v>
      </c>
      <c r="E26" s="62" t="s">
        <v>413</v>
      </c>
      <c r="F26" s="62" t="s">
        <v>572</v>
      </c>
      <c r="G26" s="124" t="s">
        <v>209</v>
      </c>
      <c r="H26" s="124" t="s">
        <v>424</v>
      </c>
      <c r="I26" s="124" t="s">
        <v>568</v>
      </c>
      <c r="J26" s="124" t="s">
        <v>576</v>
      </c>
      <c r="K26" s="14"/>
      <c r="L26" s="14"/>
      <c r="M26" s="14"/>
      <c r="N26" s="14"/>
      <c r="O26" s="14"/>
      <c r="P26" s="14"/>
      <c r="Q26" s="14"/>
      <c r="R26" s="14"/>
    </row>
    <row r="27" spans="1:24" ht="15" x14ac:dyDescent="0.25">
      <c r="A27" s="14" t="s">
        <v>396</v>
      </c>
      <c r="B27" s="14" t="s">
        <v>424</v>
      </c>
      <c r="C27" s="14" t="s">
        <v>572</v>
      </c>
      <c r="D27" s="14" t="s">
        <v>317</v>
      </c>
      <c r="E27" s="14" t="s">
        <v>424</v>
      </c>
      <c r="F27" s="14" t="s">
        <v>572</v>
      </c>
      <c r="G27" s="14" t="s">
        <v>234</v>
      </c>
      <c r="H27" s="14" t="s">
        <v>424</v>
      </c>
      <c r="I27" s="14" t="s">
        <v>572</v>
      </c>
      <c r="J27" s="124" t="s">
        <v>576</v>
      </c>
      <c r="K27" s="14" t="s">
        <v>289</v>
      </c>
      <c r="L27" s="14" t="s">
        <v>412</v>
      </c>
      <c r="M27" s="34" t="s">
        <v>575</v>
      </c>
      <c r="N27" s="57" t="s">
        <v>574</v>
      </c>
      <c r="O27" s="14" t="s">
        <v>266</v>
      </c>
      <c r="P27">
        <v>15</v>
      </c>
      <c r="Q27" s="14" t="s">
        <v>573</v>
      </c>
      <c r="R27" s="14" t="s">
        <v>185</v>
      </c>
      <c r="S27">
        <v>15</v>
      </c>
      <c r="T27" s="14" t="s">
        <v>573</v>
      </c>
      <c r="U27" s="14" t="s">
        <v>339</v>
      </c>
      <c r="V27">
        <v>16</v>
      </c>
      <c r="W27" s="14" t="s">
        <v>573</v>
      </c>
      <c r="X27" s="14" t="s">
        <v>176</v>
      </c>
    </row>
    <row r="28" spans="1:24" ht="15" x14ac:dyDescent="0.25">
      <c r="A28" s="14" t="s">
        <v>363</v>
      </c>
      <c r="B28" s="14" t="s">
        <v>412</v>
      </c>
      <c r="C28" s="14" t="s">
        <v>568</v>
      </c>
      <c r="D28" s="14" t="s">
        <v>307</v>
      </c>
      <c r="E28" s="14" t="s">
        <v>412</v>
      </c>
      <c r="F28" s="14" t="s">
        <v>568</v>
      </c>
      <c r="G28" s="14" t="s">
        <v>203</v>
      </c>
      <c r="H28" s="14" t="s">
        <v>412</v>
      </c>
      <c r="I28" s="14" t="s">
        <v>568</v>
      </c>
      <c r="J28" s="14" t="s">
        <v>55</v>
      </c>
      <c r="K28" s="14" t="s">
        <v>283</v>
      </c>
      <c r="L28" s="14" t="s">
        <v>569</v>
      </c>
      <c r="M28" s="34" t="s">
        <v>575</v>
      </c>
      <c r="N28" s="57" t="s">
        <v>574</v>
      </c>
      <c r="O28" s="14" t="s">
        <v>262</v>
      </c>
      <c r="P28">
        <v>15</v>
      </c>
      <c r="Q28" s="14" t="s">
        <v>573</v>
      </c>
      <c r="R28" s="14" t="s">
        <v>182</v>
      </c>
      <c r="S28">
        <v>15</v>
      </c>
      <c r="T28" s="14" t="s">
        <v>573</v>
      </c>
      <c r="U28" s="14" t="s">
        <v>333</v>
      </c>
      <c r="V28">
        <v>16</v>
      </c>
      <c r="W28" s="14" t="s">
        <v>573</v>
      </c>
      <c r="X28" s="14" t="s">
        <v>176</v>
      </c>
    </row>
    <row r="29" spans="1:24" ht="15" x14ac:dyDescent="0.25">
      <c r="A29" s="14" t="s">
        <v>391</v>
      </c>
      <c r="B29" s="14" t="s">
        <v>412</v>
      </c>
      <c r="C29" s="14" t="s">
        <v>572</v>
      </c>
      <c r="D29" s="14" t="s">
        <v>310</v>
      </c>
      <c r="E29" s="14" t="s">
        <v>569</v>
      </c>
      <c r="F29" s="14" t="s">
        <v>572</v>
      </c>
      <c r="G29" s="14" t="s">
        <v>221</v>
      </c>
      <c r="H29" s="14" t="s">
        <v>569</v>
      </c>
      <c r="I29" s="14" t="s">
        <v>572</v>
      </c>
      <c r="J29" s="14" t="s">
        <v>57</v>
      </c>
      <c r="K29" s="14" t="s">
        <v>274</v>
      </c>
      <c r="L29" s="14" t="s">
        <v>569</v>
      </c>
      <c r="M29" s="34" t="s">
        <v>575</v>
      </c>
      <c r="N29" s="57" t="s">
        <v>574</v>
      </c>
      <c r="O29" s="14" t="s">
        <v>259</v>
      </c>
      <c r="P29">
        <v>15</v>
      </c>
      <c r="Q29" s="14" t="s">
        <v>573</v>
      </c>
      <c r="R29" s="14" t="s">
        <v>180</v>
      </c>
      <c r="S29">
        <v>15</v>
      </c>
      <c r="T29" s="14" t="s">
        <v>573</v>
      </c>
      <c r="U29" s="14" t="s">
        <v>332</v>
      </c>
      <c r="V29">
        <v>16</v>
      </c>
      <c r="W29" s="14" t="s">
        <v>573</v>
      </c>
      <c r="X29" s="14" t="s">
        <v>176</v>
      </c>
    </row>
    <row r="30" spans="1:24" x14ac:dyDescent="0.2">
      <c r="A30" s="14" t="s">
        <v>358</v>
      </c>
      <c r="B30" s="14" t="s">
        <v>569</v>
      </c>
      <c r="C30" s="14" t="s">
        <v>568</v>
      </c>
      <c r="D30" s="14" t="s">
        <v>306</v>
      </c>
      <c r="E30" s="14" t="s">
        <v>569</v>
      </c>
      <c r="F30" s="14" t="s">
        <v>568</v>
      </c>
      <c r="G30" s="14" t="s">
        <v>201</v>
      </c>
      <c r="H30" s="14" t="s">
        <v>569</v>
      </c>
      <c r="I30" s="14" t="s">
        <v>568</v>
      </c>
      <c r="J30" s="14" t="s">
        <v>55</v>
      </c>
      <c r="K30" s="14"/>
      <c r="L30" s="14"/>
      <c r="M30" s="14"/>
      <c r="N30" s="14"/>
      <c r="O30" s="14"/>
      <c r="P30" s="14"/>
      <c r="Q30" s="14"/>
      <c r="R30" s="14" t="s">
        <v>175</v>
      </c>
      <c r="S30" s="61" t="s">
        <v>569</v>
      </c>
      <c r="T30" s="34" t="s">
        <v>573</v>
      </c>
      <c r="U30" s="14"/>
      <c r="V30" s="14"/>
      <c r="W30" s="14"/>
    </row>
    <row r="31" spans="1:24" x14ac:dyDescent="0.2">
      <c r="A31" s="14" t="s">
        <v>388</v>
      </c>
      <c r="B31" s="14" t="s">
        <v>412</v>
      </c>
      <c r="C31" s="14" t="s">
        <v>572</v>
      </c>
      <c r="D31" s="14" t="s">
        <v>308</v>
      </c>
      <c r="E31" s="14" t="s">
        <v>569</v>
      </c>
      <c r="F31" s="14" t="s">
        <v>572</v>
      </c>
      <c r="G31" s="14" t="s">
        <v>216</v>
      </c>
      <c r="H31" s="14" t="s">
        <v>569</v>
      </c>
      <c r="I31" s="14" t="s">
        <v>572</v>
      </c>
      <c r="J31" s="14" t="s">
        <v>57</v>
      </c>
      <c r="K31" s="14"/>
      <c r="L31" s="14"/>
      <c r="M31" s="14"/>
      <c r="N31" s="14"/>
      <c r="O31" s="14"/>
      <c r="P31" s="14"/>
      <c r="Q31" s="14"/>
      <c r="R31" s="14"/>
    </row>
    <row r="32" spans="1:24" x14ac:dyDescent="0.2">
      <c r="A32" s="14" t="s">
        <v>353</v>
      </c>
      <c r="B32" s="14" t="s">
        <v>569</v>
      </c>
      <c r="C32" s="14" t="s">
        <v>568</v>
      </c>
      <c r="D32" s="14" t="s">
        <v>302</v>
      </c>
      <c r="E32" s="14" t="s">
        <v>569</v>
      </c>
      <c r="F32" s="14" t="s">
        <v>568</v>
      </c>
      <c r="G32" s="14" t="s">
        <v>196</v>
      </c>
      <c r="H32" s="14" t="s">
        <v>569</v>
      </c>
      <c r="I32" s="14" t="s">
        <v>568</v>
      </c>
      <c r="J32" s="14" t="s">
        <v>55</v>
      </c>
      <c r="K32" s="14"/>
      <c r="L32" s="14"/>
      <c r="M32" s="14"/>
      <c r="N32" s="14"/>
      <c r="O32" s="14"/>
      <c r="P32" s="14"/>
      <c r="Q32" s="14"/>
      <c r="R32" s="14"/>
    </row>
    <row r="33" spans="1:18" x14ac:dyDescent="0.2">
      <c r="A33" s="14" t="s">
        <v>380</v>
      </c>
      <c r="B33" s="14" t="s">
        <v>569</v>
      </c>
      <c r="C33" s="14" t="s">
        <v>572</v>
      </c>
      <c r="D33" s="14" t="s">
        <v>308</v>
      </c>
      <c r="E33" s="14" t="s">
        <v>569</v>
      </c>
      <c r="F33" s="14" t="s">
        <v>572</v>
      </c>
      <c r="G33" s="14" t="s">
        <v>216</v>
      </c>
      <c r="H33" s="14" t="s">
        <v>569</v>
      </c>
      <c r="I33" s="14" t="s">
        <v>572</v>
      </c>
      <c r="J33" s="14" t="s">
        <v>57</v>
      </c>
      <c r="K33" s="14"/>
      <c r="L33" s="14"/>
      <c r="M33" s="14"/>
      <c r="N33" s="14"/>
      <c r="O33" s="14"/>
      <c r="P33" s="14"/>
      <c r="Q33" s="14"/>
      <c r="R33" s="14"/>
    </row>
    <row r="34" spans="1:18" x14ac:dyDescent="0.2">
      <c r="A34" s="14" t="s">
        <v>348</v>
      </c>
      <c r="B34" s="14" t="s">
        <v>418</v>
      </c>
      <c r="C34" s="14" t="s">
        <v>568</v>
      </c>
      <c r="D34" s="14" t="s">
        <v>295</v>
      </c>
      <c r="E34" s="14" t="s">
        <v>569</v>
      </c>
      <c r="F34" s="14" t="s">
        <v>568</v>
      </c>
      <c r="G34" s="14" t="s">
        <v>192</v>
      </c>
      <c r="H34" s="14" t="s">
        <v>569</v>
      </c>
      <c r="I34" s="14" t="s">
        <v>113</v>
      </c>
      <c r="J34" s="14" t="s">
        <v>55</v>
      </c>
      <c r="K34" s="14"/>
      <c r="L34" s="14"/>
      <c r="M34" s="14"/>
      <c r="N34" s="14"/>
      <c r="O34" s="14"/>
      <c r="P34" s="14"/>
      <c r="Q34" s="14"/>
      <c r="R34" s="14"/>
    </row>
    <row r="35" spans="1:18" x14ac:dyDescent="0.2">
      <c r="A35" s="99"/>
      <c r="B35" s="99"/>
      <c r="C35" s="99"/>
      <c r="D35" s="14"/>
      <c r="E35" s="14"/>
      <c r="F35" s="14"/>
      <c r="G35" s="14"/>
      <c r="H35" s="14"/>
      <c r="I35" s="14"/>
      <c r="J35" s="14"/>
      <c r="K35" s="14"/>
      <c r="L35" s="14"/>
      <c r="M35" s="14"/>
      <c r="N35" s="14"/>
      <c r="O35" s="14"/>
      <c r="P35" s="14"/>
      <c r="Q35" s="14"/>
      <c r="R35" s="14"/>
    </row>
    <row r="36" spans="1:18" x14ac:dyDescent="0.2">
      <c r="A36" s="14" t="s">
        <v>374</v>
      </c>
      <c r="B36" s="14" t="s">
        <v>418</v>
      </c>
      <c r="C36" s="14" t="s">
        <v>572</v>
      </c>
      <c r="D36" s="14" t="s">
        <v>308</v>
      </c>
      <c r="E36" s="14" t="s">
        <v>569</v>
      </c>
      <c r="F36" s="14" t="s">
        <v>572</v>
      </c>
      <c r="G36" s="14" t="s">
        <v>216</v>
      </c>
      <c r="H36" s="14" t="s">
        <v>569</v>
      </c>
      <c r="I36" s="14" t="s">
        <v>572</v>
      </c>
      <c r="J36" s="14" t="s">
        <v>57</v>
      </c>
      <c r="K36" s="14"/>
      <c r="L36" s="14"/>
      <c r="M36" s="14"/>
      <c r="N36" s="14"/>
      <c r="O36" s="14"/>
      <c r="P36" s="14"/>
      <c r="Q36" s="14"/>
      <c r="R36" s="14"/>
    </row>
    <row r="37" spans="1:18" x14ac:dyDescent="0.2">
      <c r="A37" s="14" t="s">
        <v>347</v>
      </c>
      <c r="B37" s="14" t="s">
        <v>418</v>
      </c>
      <c r="C37" s="14" t="s">
        <v>568</v>
      </c>
      <c r="D37" s="14" t="s">
        <v>295</v>
      </c>
      <c r="E37" s="14" t="s">
        <v>569</v>
      </c>
      <c r="F37" s="14" t="s">
        <v>568</v>
      </c>
      <c r="G37" s="14" t="s">
        <v>192</v>
      </c>
      <c r="H37" s="14" t="s">
        <v>569</v>
      </c>
      <c r="I37" s="14" t="s">
        <v>568</v>
      </c>
      <c r="J37" s="14" t="s">
        <v>55</v>
      </c>
      <c r="K37" s="14"/>
      <c r="L37" s="14"/>
      <c r="M37" s="14"/>
      <c r="N37" s="14"/>
      <c r="O37" s="14"/>
      <c r="P37" s="14"/>
      <c r="Q37" s="14"/>
      <c r="R37" s="14"/>
    </row>
    <row r="38" spans="1:18" x14ac:dyDescent="0.2">
      <c r="A38" s="99"/>
      <c r="B38" s="99"/>
      <c r="C38" s="99"/>
      <c r="D38" s="14"/>
      <c r="E38" s="14"/>
      <c r="F38" s="14"/>
      <c r="G38" s="14"/>
      <c r="H38" s="14"/>
      <c r="I38" s="14"/>
      <c r="J38" s="14"/>
      <c r="K38" s="14"/>
      <c r="L38" s="14"/>
      <c r="M38" s="14"/>
      <c r="N38" s="14"/>
      <c r="O38" s="14"/>
      <c r="P38" s="14"/>
      <c r="Q38" s="14"/>
      <c r="R38" s="14"/>
    </row>
    <row r="39" spans="1:18" x14ac:dyDescent="0.2">
      <c r="A39" s="14" t="s">
        <v>368</v>
      </c>
      <c r="B39" s="14" t="s">
        <v>418</v>
      </c>
      <c r="C39" s="14" t="s">
        <v>572</v>
      </c>
      <c r="D39" s="14" t="s">
        <v>308</v>
      </c>
      <c r="E39" s="14" t="s">
        <v>569</v>
      </c>
      <c r="F39" s="14" t="s">
        <v>572</v>
      </c>
      <c r="G39" s="14" t="s">
        <v>216</v>
      </c>
      <c r="H39" s="14" t="s">
        <v>569</v>
      </c>
      <c r="I39" s="14" t="s">
        <v>572</v>
      </c>
      <c r="J39" s="14" t="s">
        <v>571</v>
      </c>
      <c r="K39" s="14"/>
      <c r="L39" s="14"/>
      <c r="M39" s="14"/>
      <c r="N39" s="14"/>
      <c r="O39" s="14"/>
      <c r="P39" s="14"/>
      <c r="Q39" s="14"/>
      <c r="R39" s="14"/>
    </row>
    <row r="40" spans="1:18" x14ac:dyDescent="0.2">
      <c r="A40" s="14" t="s">
        <v>345</v>
      </c>
      <c r="B40" s="14" t="s">
        <v>418</v>
      </c>
      <c r="C40" s="14" t="s">
        <v>568</v>
      </c>
      <c r="D40" s="14" t="s">
        <v>295</v>
      </c>
      <c r="E40" s="14" t="s">
        <v>569</v>
      </c>
      <c r="F40" s="14" t="s">
        <v>568</v>
      </c>
      <c r="G40" s="14" t="s">
        <v>192</v>
      </c>
      <c r="H40" s="14" t="s">
        <v>569</v>
      </c>
      <c r="I40" s="14" t="s">
        <v>568</v>
      </c>
      <c r="J40" s="14" t="s">
        <v>570</v>
      </c>
      <c r="K40" s="14"/>
      <c r="L40" s="14"/>
      <c r="M40" s="14"/>
      <c r="N40" s="14"/>
      <c r="O40" s="14"/>
      <c r="P40" s="14"/>
      <c r="Q40" s="14"/>
      <c r="R40" s="14"/>
    </row>
    <row r="41" spans="1:18" x14ac:dyDescent="0.2">
      <c r="A41" s="58" t="s">
        <v>332</v>
      </c>
      <c r="B41" s="58" t="s">
        <v>418</v>
      </c>
      <c r="C41" s="58" t="s">
        <v>573</v>
      </c>
      <c r="D41" s="58"/>
      <c r="E41" s="58"/>
      <c r="F41" s="58"/>
      <c r="G41" s="58"/>
      <c r="H41" s="58"/>
      <c r="I41" s="58"/>
      <c r="J41" s="58" t="s">
        <v>567</v>
      </c>
      <c r="K41" s="14"/>
      <c r="L41" s="14"/>
      <c r="M41" s="14"/>
      <c r="N41" s="14"/>
      <c r="O41" s="14"/>
      <c r="P41" s="14"/>
      <c r="Q41" s="14"/>
      <c r="R41" s="14"/>
    </row>
    <row r="42" spans="1:18" x14ac:dyDescent="0.2">
      <c r="A42" s="59" t="s">
        <v>327</v>
      </c>
      <c r="B42" s="59" t="s">
        <v>418</v>
      </c>
      <c r="C42" s="59" t="s">
        <v>565</v>
      </c>
      <c r="D42" s="59" t="s">
        <v>564</v>
      </c>
      <c r="E42" s="59" t="s">
        <v>564</v>
      </c>
      <c r="F42" s="59" t="s">
        <v>564</v>
      </c>
      <c r="G42" s="59" t="s">
        <v>564</v>
      </c>
      <c r="H42" s="59" t="s">
        <v>564</v>
      </c>
      <c r="I42" s="59" t="s">
        <v>564</v>
      </c>
      <c r="J42" s="59" t="s">
        <v>566</v>
      </c>
      <c r="K42" s="14"/>
      <c r="L42" s="14"/>
      <c r="M42" s="14"/>
      <c r="N42" s="14"/>
      <c r="O42" s="14"/>
      <c r="P42" s="14"/>
      <c r="Q42" s="14"/>
      <c r="R42" s="14"/>
    </row>
    <row r="43" spans="1:18" x14ac:dyDescent="0.2">
      <c r="A43" s="126" t="s">
        <v>84</v>
      </c>
      <c r="B43" s="126" t="s">
        <v>436</v>
      </c>
      <c r="C43" s="126" t="s">
        <v>565</v>
      </c>
      <c r="D43" s="126" t="s">
        <v>564</v>
      </c>
      <c r="E43" s="126"/>
      <c r="F43" s="126"/>
      <c r="G43" s="126"/>
      <c r="H43" s="126"/>
      <c r="I43" s="126"/>
      <c r="J43" s="126" t="s">
        <v>563</v>
      </c>
      <c r="K43" s="14"/>
      <c r="L43" s="14"/>
      <c r="M43" s="14"/>
      <c r="N43" s="14"/>
      <c r="O43" s="14"/>
      <c r="P43" s="14"/>
      <c r="Q43" s="14"/>
      <c r="R43" s="14"/>
    </row>
    <row r="44" spans="1:18" x14ac:dyDescent="0.2">
      <c r="A44" s="14"/>
      <c r="B44" s="14"/>
      <c r="C44" s="14"/>
      <c r="D44" s="14"/>
      <c r="E44" s="14"/>
      <c r="F44" s="14"/>
      <c r="G44" s="14"/>
      <c r="H44" s="14"/>
      <c r="I44" s="14"/>
      <c r="J44" s="14"/>
      <c r="K44" s="14"/>
      <c r="L44" s="14"/>
      <c r="M44" s="14"/>
      <c r="N44" s="14"/>
      <c r="O44" s="14"/>
      <c r="P44" s="14"/>
      <c r="Q44" s="14"/>
      <c r="R44" s="14"/>
    </row>
    <row r="45" spans="1:18" x14ac:dyDescent="0.2">
      <c r="A45" s="14"/>
      <c r="B45" s="60" t="s">
        <v>562</v>
      </c>
      <c r="C45" s="60" t="s">
        <v>463</v>
      </c>
      <c r="D45" s="60" t="s">
        <v>462</v>
      </c>
      <c r="E45" s="60" t="s">
        <v>461</v>
      </c>
      <c r="F45" s="60"/>
      <c r="G45" s="60" t="s">
        <v>562</v>
      </c>
      <c r="H45" s="60" t="s">
        <v>463</v>
      </c>
      <c r="I45" s="60" t="s">
        <v>462</v>
      </c>
      <c r="J45" s="60" t="s">
        <v>461</v>
      </c>
      <c r="K45" s="60"/>
      <c r="L45" s="60" t="s">
        <v>562</v>
      </c>
      <c r="M45" s="60" t="s">
        <v>463</v>
      </c>
      <c r="N45" s="60" t="s">
        <v>462</v>
      </c>
      <c r="O45" s="60" t="s">
        <v>461</v>
      </c>
      <c r="P45" s="60" t="s">
        <v>118</v>
      </c>
      <c r="Q45" s="60" t="s">
        <v>460</v>
      </c>
      <c r="R45" s="14"/>
    </row>
    <row r="46" spans="1:18" x14ac:dyDescent="0.2">
      <c r="A46" s="14" t="s">
        <v>393</v>
      </c>
      <c r="B46" s="14" t="s">
        <v>316</v>
      </c>
      <c r="C46" s="14" t="s">
        <v>419</v>
      </c>
      <c r="D46" s="14" t="s">
        <v>450</v>
      </c>
      <c r="E46" s="14" t="s">
        <v>561</v>
      </c>
      <c r="F46" s="14" t="s">
        <v>560</v>
      </c>
      <c r="G46" s="14" t="s">
        <v>559</v>
      </c>
      <c r="H46" s="14" t="s">
        <v>526</v>
      </c>
      <c r="I46" s="14" t="s">
        <v>558</v>
      </c>
      <c r="J46" s="14" t="s">
        <v>557</v>
      </c>
      <c r="K46" s="14" t="s">
        <v>556</v>
      </c>
      <c r="L46" s="14" t="s">
        <v>555</v>
      </c>
      <c r="M46" s="14" t="s">
        <v>554</v>
      </c>
      <c r="N46" s="14" t="s">
        <v>553</v>
      </c>
      <c r="O46" s="14" t="s">
        <v>552</v>
      </c>
      <c r="P46" s="14" t="s">
        <v>551</v>
      </c>
      <c r="Q46" s="14" t="s">
        <v>550</v>
      </c>
      <c r="R46" s="14"/>
    </row>
    <row r="47" spans="1:18" x14ac:dyDescent="0.2">
      <c r="A47" s="14" t="s">
        <v>390</v>
      </c>
      <c r="B47" s="14" t="s">
        <v>530</v>
      </c>
      <c r="C47" s="14" t="s">
        <v>413</v>
      </c>
      <c r="D47" s="14" t="s">
        <v>453</v>
      </c>
      <c r="E47" s="14" t="s">
        <v>549</v>
      </c>
      <c r="F47" s="14" t="s">
        <v>548</v>
      </c>
      <c r="G47" s="14" t="s">
        <v>547</v>
      </c>
      <c r="H47" s="14" t="s">
        <v>546</v>
      </c>
      <c r="I47" s="14" t="s">
        <v>545</v>
      </c>
      <c r="J47" s="14" t="s">
        <v>544</v>
      </c>
      <c r="K47" s="14"/>
      <c r="L47" s="14"/>
      <c r="M47" s="14"/>
      <c r="N47" s="14"/>
      <c r="O47" s="14"/>
      <c r="P47" s="14" t="s">
        <v>101</v>
      </c>
      <c r="Q47" s="14" t="s">
        <v>518</v>
      </c>
      <c r="R47" s="14"/>
    </row>
    <row r="48" spans="1:18" x14ac:dyDescent="0.2">
      <c r="A48" s="58" t="s">
        <v>384</v>
      </c>
      <c r="B48" s="58" t="s">
        <v>495</v>
      </c>
      <c r="C48" s="58" t="s">
        <v>436</v>
      </c>
      <c r="D48" s="58" t="s">
        <v>490</v>
      </c>
      <c r="E48" s="58" t="s">
        <v>543</v>
      </c>
      <c r="F48" s="58" t="s">
        <v>542</v>
      </c>
      <c r="G48" s="58" t="s">
        <v>491</v>
      </c>
      <c r="H48" s="58" t="s">
        <v>436</v>
      </c>
      <c r="I48" s="58" t="s">
        <v>541</v>
      </c>
      <c r="J48" s="58" t="s">
        <v>540</v>
      </c>
      <c r="K48" s="58"/>
      <c r="L48" s="58"/>
      <c r="M48" s="58"/>
      <c r="N48" s="58"/>
      <c r="O48" s="58"/>
      <c r="P48" s="58" t="s">
        <v>83</v>
      </c>
      <c r="Q48" s="58" t="s">
        <v>474</v>
      </c>
      <c r="R48" s="14"/>
    </row>
    <row r="49" spans="1:18" x14ac:dyDescent="0.2">
      <c r="A49" s="14" t="s">
        <v>376</v>
      </c>
      <c r="B49" s="14" t="s">
        <v>530</v>
      </c>
      <c r="C49" s="14" t="s">
        <v>412</v>
      </c>
      <c r="D49" s="14" t="s">
        <v>411</v>
      </c>
      <c r="E49" s="14" t="s">
        <v>539</v>
      </c>
      <c r="F49" s="14" t="s">
        <v>538</v>
      </c>
      <c r="G49" s="14" t="s">
        <v>495</v>
      </c>
      <c r="H49" s="14" t="s">
        <v>424</v>
      </c>
      <c r="I49" s="14" t="s">
        <v>394</v>
      </c>
      <c r="J49" s="14" t="s">
        <v>537</v>
      </c>
      <c r="K49" s="14"/>
      <c r="L49" s="14"/>
      <c r="M49" s="14"/>
      <c r="N49" s="14"/>
      <c r="O49" s="14"/>
      <c r="P49" s="14" t="s">
        <v>101</v>
      </c>
      <c r="Q49" s="14" t="s">
        <v>518</v>
      </c>
      <c r="R49" s="14"/>
    </row>
    <row r="50" spans="1:18" x14ac:dyDescent="0.2">
      <c r="A50" s="14" t="s">
        <v>370</v>
      </c>
      <c r="B50" s="14" t="s">
        <v>517</v>
      </c>
      <c r="C50" s="14" t="s">
        <v>418</v>
      </c>
      <c r="D50" s="14" t="s">
        <v>417</v>
      </c>
      <c r="E50" s="14" t="s">
        <v>534</v>
      </c>
      <c r="F50" s="14" t="s">
        <v>536</v>
      </c>
      <c r="G50" s="14" t="s">
        <v>517</v>
      </c>
      <c r="H50" s="14" t="s">
        <v>473</v>
      </c>
      <c r="I50" s="14" t="s">
        <v>535</v>
      </c>
      <c r="J50" s="14" t="s">
        <v>534</v>
      </c>
      <c r="K50" s="14" t="s">
        <v>533</v>
      </c>
      <c r="L50" s="14" t="s">
        <v>517</v>
      </c>
      <c r="M50" s="14" t="s">
        <v>412</v>
      </c>
      <c r="N50" s="14" t="s">
        <v>532</v>
      </c>
      <c r="O50" s="14" t="s">
        <v>531</v>
      </c>
      <c r="P50" s="14" t="s">
        <v>95</v>
      </c>
      <c r="Q50" s="14" t="s">
        <v>498</v>
      </c>
      <c r="R50" s="14"/>
    </row>
    <row r="51" spans="1:18" x14ac:dyDescent="0.2">
      <c r="A51" s="14" t="s">
        <v>367</v>
      </c>
      <c r="B51" s="14" t="s">
        <v>530</v>
      </c>
      <c r="C51" s="14" t="s">
        <v>501</v>
      </c>
      <c r="D51" s="14" t="s">
        <v>500</v>
      </c>
      <c r="E51" s="14" t="s">
        <v>529</v>
      </c>
      <c r="F51" s="14" t="s">
        <v>528</v>
      </c>
      <c r="G51" s="14" t="s">
        <v>527</v>
      </c>
      <c r="H51" s="14" t="s">
        <v>526</v>
      </c>
      <c r="I51" s="14" t="s">
        <v>525</v>
      </c>
      <c r="J51" s="14" t="s">
        <v>524</v>
      </c>
      <c r="K51" s="14" t="s">
        <v>523</v>
      </c>
      <c r="L51" s="14" t="s">
        <v>522</v>
      </c>
      <c r="M51" s="14" t="s">
        <v>521</v>
      </c>
      <c r="N51" s="14" t="s">
        <v>520</v>
      </c>
      <c r="O51" s="14" t="s">
        <v>519</v>
      </c>
      <c r="P51" s="14" t="s">
        <v>101</v>
      </c>
      <c r="Q51" s="14" t="s">
        <v>518</v>
      </c>
      <c r="R51" s="14"/>
    </row>
    <row r="52" spans="1:18" x14ac:dyDescent="0.2">
      <c r="A52" s="14" t="s">
        <v>365</v>
      </c>
      <c r="B52" s="14" t="s">
        <v>517</v>
      </c>
      <c r="C52" s="14" t="s">
        <v>412</v>
      </c>
      <c r="D52" s="14" t="s">
        <v>411</v>
      </c>
      <c r="E52" s="14" t="s">
        <v>516</v>
      </c>
      <c r="F52" s="14" t="s">
        <v>515</v>
      </c>
      <c r="G52" s="14" t="s">
        <v>514</v>
      </c>
      <c r="H52" s="14" t="s">
        <v>513</v>
      </c>
      <c r="I52" s="14" t="s">
        <v>512</v>
      </c>
      <c r="J52" s="14" t="s">
        <v>511</v>
      </c>
      <c r="K52" s="14" t="s">
        <v>510</v>
      </c>
      <c r="L52" s="14" t="s">
        <v>509</v>
      </c>
      <c r="M52" s="14" t="s">
        <v>508</v>
      </c>
      <c r="N52" s="14" t="s">
        <v>507</v>
      </c>
      <c r="O52" s="14" t="s">
        <v>506</v>
      </c>
      <c r="P52" s="14" t="s">
        <v>95</v>
      </c>
      <c r="Q52" s="14" t="s">
        <v>498</v>
      </c>
      <c r="R52" s="14"/>
    </row>
    <row r="53" spans="1:18" x14ac:dyDescent="0.2">
      <c r="A53" s="14" t="s">
        <v>362</v>
      </c>
      <c r="B53" s="14" t="s">
        <v>495</v>
      </c>
      <c r="C53" s="14" t="s">
        <v>473</v>
      </c>
      <c r="D53" s="14" t="s">
        <v>472</v>
      </c>
      <c r="E53" s="14" t="s">
        <v>505</v>
      </c>
      <c r="F53" s="14" t="s">
        <v>504</v>
      </c>
      <c r="G53" s="14" t="s">
        <v>491</v>
      </c>
      <c r="H53" s="14" t="s">
        <v>424</v>
      </c>
      <c r="I53" s="14" t="s">
        <v>458</v>
      </c>
      <c r="J53" s="14" t="s">
        <v>503</v>
      </c>
      <c r="K53" s="14" t="s">
        <v>502</v>
      </c>
      <c r="L53" s="14" t="s">
        <v>442</v>
      </c>
      <c r="M53" s="14" t="s">
        <v>501</v>
      </c>
      <c r="N53" s="14" t="s">
        <v>500</v>
      </c>
      <c r="O53" s="14" t="s">
        <v>499</v>
      </c>
      <c r="P53" s="14" t="s">
        <v>95</v>
      </c>
      <c r="Q53" s="14" t="s">
        <v>498</v>
      </c>
      <c r="R53" s="14"/>
    </row>
    <row r="54" spans="1:18" x14ac:dyDescent="0.2">
      <c r="A54" s="14" t="s">
        <v>355</v>
      </c>
      <c r="B54" s="14" t="s">
        <v>442</v>
      </c>
      <c r="C54" s="14" t="s">
        <v>494</v>
      </c>
      <c r="D54" s="14" t="s">
        <v>493</v>
      </c>
      <c r="E54" s="14" t="s">
        <v>497</v>
      </c>
      <c r="F54" s="14" t="s">
        <v>496</v>
      </c>
      <c r="G54" s="14" t="s">
        <v>495</v>
      </c>
      <c r="H54" s="14" t="s">
        <v>494</v>
      </c>
      <c r="I54" s="14" t="s">
        <v>493</v>
      </c>
      <c r="J54" s="14" t="s">
        <v>492</v>
      </c>
      <c r="K54" s="14"/>
      <c r="L54" s="14"/>
      <c r="M54" s="14"/>
      <c r="N54" s="14"/>
      <c r="O54" s="14"/>
      <c r="P54" s="14" t="s">
        <v>83</v>
      </c>
      <c r="Q54" s="14" t="s">
        <v>474</v>
      </c>
      <c r="R54" s="14"/>
    </row>
    <row r="55" spans="1:18" x14ac:dyDescent="0.2">
      <c r="A55" s="14" t="s">
        <v>349</v>
      </c>
      <c r="B55" s="14" t="s">
        <v>491</v>
      </c>
      <c r="C55" s="14" t="s">
        <v>436</v>
      </c>
      <c r="D55" s="14" t="s">
        <v>490</v>
      </c>
      <c r="E55" s="14" t="s">
        <v>489</v>
      </c>
      <c r="F55" s="14"/>
      <c r="G55" s="14"/>
      <c r="H55" s="14"/>
      <c r="I55" s="14"/>
      <c r="J55" s="14"/>
      <c r="K55" s="14"/>
      <c r="L55" s="14"/>
      <c r="M55" s="14"/>
      <c r="N55" s="14"/>
      <c r="O55" s="14"/>
      <c r="P55" s="14" t="s">
        <v>488</v>
      </c>
      <c r="Q55" s="14" t="s">
        <v>487</v>
      </c>
      <c r="R55" s="14"/>
    </row>
    <row r="56" spans="1:18" x14ac:dyDescent="0.2">
      <c r="A56" s="59" t="s">
        <v>195</v>
      </c>
      <c r="B56" s="59" t="s">
        <v>413</v>
      </c>
      <c r="C56" s="59" t="s">
        <v>486</v>
      </c>
      <c r="D56" s="59" t="s">
        <v>485</v>
      </c>
      <c r="E56" s="59" t="s">
        <v>484</v>
      </c>
      <c r="F56" s="59"/>
      <c r="G56" s="59"/>
      <c r="H56" s="59"/>
      <c r="I56" s="59"/>
      <c r="J56" s="59"/>
      <c r="K56" s="59"/>
      <c r="L56" s="59"/>
      <c r="M56" s="59"/>
      <c r="N56" s="59"/>
      <c r="O56" s="59"/>
      <c r="P56" s="59" t="s">
        <v>63</v>
      </c>
      <c r="Q56" s="59" t="s">
        <v>483</v>
      </c>
      <c r="R56" s="14"/>
    </row>
    <row r="57" spans="1:18" x14ac:dyDescent="0.2">
      <c r="A57" s="14" t="s">
        <v>346</v>
      </c>
      <c r="B57" s="14" t="s">
        <v>442</v>
      </c>
      <c r="C57" s="14" t="s">
        <v>418</v>
      </c>
      <c r="D57" s="14" t="s">
        <v>417</v>
      </c>
      <c r="E57" s="14" t="s">
        <v>482</v>
      </c>
      <c r="F57" s="14" t="s">
        <v>481</v>
      </c>
      <c r="G57" s="14"/>
      <c r="H57" s="14"/>
      <c r="I57" s="14"/>
      <c r="J57" s="14" t="s">
        <v>480</v>
      </c>
      <c r="K57" s="14" t="s">
        <v>479</v>
      </c>
      <c r="L57" s="14" t="s">
        <v>478</v>
      </c>
      <c r="M57" s="14" t="s">
        <v>477</v>
      </c>
      <c r="N57" s="14" t="s">
        <v>476</v>
      </c>
      <c r="O57" s="14" t="s">
        <v>475</v>
      </c>
      <c r="P57" s="14" t="s">
        <v>83</v>
      </c>
      <c r="Q57" s="14" t="s">
        <v>474</v>
      </c>
      <c r="R57" s="14"/>
    </row>
    <row r="58" spans="1:18" x14ac:dyDescent="0.2">
      <c r="A58" s="14" t="s">
        <v>344</v>
      </c>
      <c r="B58" s="14" t="s">
        <v>419</v>
      </c>
      <c r="C58" s="14" t="s">
        <v>473</v>
      </c>
      <c r="D58" s="14" t="s">
        <v>472</v>
      </c>
      <c r="E58" s="14" t="s">
        <v>471</v>
      </c>
      <c r="F58" s="14"/>
      <c r="G58" s="14"/>
      <c r="H58" s="14"/>
      <c r="I58" s="14"/>
      <c r="J58" s="14"/>
      <c r="K58" s="14" t="s">
        <v>470</v>
      </c>
      <c r="L58" s="14" t="s">
        <v>469</v>
      </c>
      <c r="M58" s="14" t="s">
        <v>468</v>
      </c>
      <c r="N58" s="14" t="s">
        <v>467</v>
      </c>
      <c r="O58" s="14" t="s">
        <v>466</v>
      </c>
      <c r="P58" s="14" t="s">
        <v>77</v>
      </c>
      <c r="Q58" s="14" t="s">
        <v>465</v>
      </c>
      <c r="R58" s="14"/>
    </row>
    <row r="59" spans="1:18" x14ac:dyDescent="0.2">
      <c r="A59" s="14"/>
      <c r="B59" s="14"/>
      <c r="C59" s="14"/>
      <c r="D59" s="14"/>
      <c r="E59" s="14"/>
      <c r="F59" s="14"/>
      <c r="G59" s="14"/>
      <c r="H59" s="14"/>
      <c r="I59" s="14"/>
      <c r="J59" s="14"/>
      <c r="K59" s="14"/>
      <c r="L59" s="14"/>
      <c r="M59" s="14"/>
      <c r="N59" s="14"/>
      <c r="O59" s="14"/>
      <c r="P59" s="14"/>
      <c r="Q59" s="14"/>
      <c r="R59" s="14"/>
    </row>
    <row r="60" spans="1:18" x14ac:dyDescent="0.2">
      <c r="A60" s="14"/>
      <c r="B60" s="60" t="s">
        <v>464</v>
      </c>
      <c r="C60" s="60" t="s">
        <v>463</v>
      </c>
      <c r="D60" s="60" t="s">
        <v>462</v>
      </c>
      <c r="E60" s="60" t="s">
        <v>461</v>
      </c>
      <c r="F60" s="60"/>
      <c r="G60" s="60" t="s">
        <v>464</v>
      </c>
      <c r="H60" s="60" t="s">
        <v>463</v>
      </c>
      <c r="I60" s="60" t="s">
        <v>462</v>
      </c>
      <c r="J60" s="60" t="s">
        <v>461</v>
      </c>
      <c r="K60" s="60"/>
      <c r="L60" s="60" t="s">
        <v>464</v>
      </c>
      <c r="M60" s="60" t="s">
        <v>463</v>
      </c>
      <c r="N60" s="60" t="s">
        <v>462</v>
      </c>
      <c r="O60" s="60" t="s">
        <v>461</v>
      </c>
      <c r="P60" s="60" t="s">
        <v>118</v>
      </c>
      <c r="Q60" s="60" t="s">
        <v>460</v>
      </c>
      <c r="R60" s="14"/>
    </row>
    <row r="61" spans="1:18" ht="15" x14ac:dyDescent="0.25">
      <c r="A61" s="14" t="s">
        <v>459</v>
      </c>
      <c r="B61" s="14" t="s">
        <v>413</v>
      </c>
      <c r="C61" s="14" t="s">
        <v>424</v>
      </c>
      <c r="D61" s="14" t="s">
        <v>458</v>
      </c>
      <c r="E61" s="14" t="s">
        <v>457</v>
      </c>
      <c r="F61" s="14" t="s">
        <v>456</v>
      </c>
      <c r="G61" s="14" t="s">
        <v>413</v>
      </c>
      <c r="H61" s="14" t="s">
        <v>413</v>
      </c>
      <c r="I61" s="14" t="s">
        <v>453</v>
      </c>
      <c r="J61" s="14" t="s">
        <v>455</v>
      </c>
      <c r="K61" s="14"/>
      <c r="L61" s="14"/>
      <c r="M61" s="14"/>
      <c r="N61" s="14"/>
      <c r="O61" s="14"/>
      <c r="P61" s="57" t="s">
        <v>329</v>
      </c>
      <c r="Q61" s="14" t="s">
        <v>409</v>
      </c>
      <c r="R61" s="14"/>
    </row>
    <row r="62" spans="1:18" ht="15" x14ac:dyDescent="0.25">
      <c r="A62" s="14" t="s">
        <v>454</v>
      </c>
      <c r="B62" s="14" t="s">
        <v>442</v>
      </c>
      <c r="C62" s="14" t="s">
        <v>413</v>
      </c>
      <c r="D62" s="14" t="s">
        <v>453</v>
      </c>
      <c r="E62" s="14" t="s">
        <v>452</v>
      </c>
      <c r="F62" s="14" t="s">
        <v>451</v>
      </c>
      <c r="G62" s="14" t="s">
        <v>442</v>
      </c>
      <c r="H62" s="14" t="s">
        <v>419</v>
      </c>
      <c r="I62" s="14" t="s">
        <v>450</v>
      </c>
      <c r="J62" s="14" t="s">
        <v>449</v>
      </c>
      <c r="K62" s="14" t="s">
        <v>448</v>
      </c>
      <c r="L62" s="14" t="s">
        <v>447</v>
      </c>
      <c r="M62" s="14" t="s">
        <v>446</v>
      </c>
      <c r="N62" s="14" t="s">
        <v>445</v>
      </c>
      <c r="O62" s="14" t="s">
        <v>444</v>
      </c>
      <c r="P62" s="57" t="s">
        <v>331</v>
      </c>
      <c r="Q62" s="14" t="s">
        <v>440</v>
      </c>
      <c r="R62" s="14"/>
    </row>
    <row r="63" spans="1:18" ht="15" x14ac:dyDescent="0.25">
      <c r="A63" s="14" t="s">
        <v>443</v>
      </c>
      <c r="B63" s="14" t="s">
        <v>442</v>
      </c>
      <c r="C63" s="14" t="s">
        <v>442</v>
      </c>
      <c r="D63" s="14" t="s">
        <v>28</v>
      </c>
      <c r="E63" s="14" t="s">
        <v>441</v>
      </c>
      <c r="F63" s="14"/>
      <c r="G63" s="14"/>
      <c r="H63" s="14"/>
      <c r="I63" s="14"/>
      <c r="J63" s="14"/>
      <c r="K63" s="14"/>
      <c r="L63" s="14"/>
      <c r="M63" s="14"/>
      <c r="N63" s="14"/>
      <c r="O63" s="14"/>
      <c r="P63" s="57" t="s">
        <v>331</v>
      </c>
      <c r="Q63" s="14" t="s">
        <v>440</v>
      </c>
      <c r="R63" s="14"/>
    </row>
    <row r="64" spans="1:18" x14ac:dyDescent="0.2">
      <c r="A64" s="59" t="s">
        <v>153</v>
      </c>
      <c r="B64" s="59" t="s">
        <v>436</v>
      </c>
      <c r="C64" s="59" t="s">
        <v>418</v>
      </c>
      <c r="D64" s="59" t="s">
        <v>439</v>
      </c>
      <c r="E64" s="59" t="s">
        <v>438</v>
      </c>
      <c r="F64" s="59" t="s">
        <v>437</v>
      </c>
      <c r="G64" s="59" t="s">
        <v>436</v>
      </c>
      <c r="H64" s="59" t="s">
        <v>418</v>
      </c>
      <c r="I64" s="59" t="s">
        <v>417</v>
      </c>
      <c r="J64" s="59" t="s">
        <v>435</v>
      </c>
      <c r="K64" s="59"/>
      <c r="L64" s="59"/>
      <c r="M64" s="59"/>
      <c r="N64" s="59"/>
      <c r="O64" s="59"/>
      <c r="P64" s="59" t="s">
        <v>101</v>
      </c>
      <c r="Q64" s="59" t="s">
        <v>434</v>
      </c>
      <c r="R64" s="14"/>
    </row>
    <row r="65" spans="1:18" x14ac:dyDescent="0.2">
      <c r="A65" s="58" t="s">
        <v>433</v>
      </c>
      <c r="B65" s="58" t="s">
        <v>418</v>
      </c>
      <c r="C65" s="58" t="s">
        <v>418</v>
      </c>
      <c r="D65" s="58" t="s">
        <v>417</v>
      </c>
      <c r="E65" s="58" t="s">
        <v>432</v>
      </c>
      <c r="F65" s="58" t="s">
        <v>431</v>
      </c>
      <c r="G65" s="58" t="s">
        <v>430</v>
      </c>
      <c r="H65" s="58" t="s">
        <v>429</v>
      </c>
      <c r="I65" s="58" t="s">
        <v>428</v>
      </c>
      <c r="J65" s="58" t="s">
        <v>427</v>
      </c>
      <c r="K65" s="58"/>
      <c r="L65" s="58"/>
      <c r="M65" s="58"/>
      <c r="N65" s="58"/>
      <c r="O65" s="58"/>
      <c r="P65" s="58" t="s">
        <v>106</v>
      </c>
      <c r="Q65" s="58" t="s">
        <v>421</v>
      </c>
      <c r="R65" s="14" t="s">
        <v>426</v>
      </c>
    </row>
    <row r="66" spans="1:18" x14ac:dyDescent="0.2">
      <c r="A66" s="14" t="s">
        <v>425</v>
      </c>
      <c r="B66" s="14" t="s">
        <v>424</v>
      </c>
      <c r="C66" s="14" t="s">
        <v>412</v>
      </c>
      <c r="D66" s="14" t="s">
        <v>423</v>
      </c>
      <c r="E66" s="14" t="s">
        <v>422</v>
      </c>
      <c r="F66" s="14"/>
      <c r="G66" s="14"/>
      <c r="H66" s="14"/>
      <c r="I66" s="14"/>
      <c r="J66" s="14"/>
      <c r="K66" s="14"/>
      <c r="L66" s="14"/>
      <c r="M66" s="14"/>
      <c r="N66" s="14"/>
      <c r="O66" s="14"/>
      <c r="P66" s="14" t="s">
        <v>106</v>
      </c>
      <c r="Q66" s="14" t="s">
        <v>421</v>
      </c>
      <c r="R66" s="14"/>
    </row>
    <row r="67" spans="1:18" ht="15" x14ac:dyDescent="0.25">
      <c r="A67" s="14" t="s">
        <v>420</v>
      </c>
      <c r="B67" s="14" t="s">
        <v>419</v>
      </c>
      <c r="C67" s="14" t="s">
        <v>418</v>
      </c>
      <c r="D67" s="14" t="s">
        <v>417</v>
      </c>
      <c r="E67" s="14" t="s">
        <v>416</v>
      </c>
      <c r="F67" s="14" t="s">
        <v>415</v>
      </c>
      <c r="G67" s="14" t="s">
        <v>413</v>
      </c>
      <c r="H67" s="14" t="s">
        <v>412</v>
      </c>
      <c r="I67" s="14" t="s">
        <v>411</v>
      </c>
      <c r="J67" s="14" t="s">
        <v>410</v>
      </c>
      <c r="K67" s="14" t="s">
        <v>414</v>
      </c>
      <c r="L67" s="14" t="s">
        <v>413</v>
      </c>
      <c r="M67" s="14" t="s">
        <v>412</v>
      </c>
      <c r="N67" s="14" t="s">
        <v>411</v>
      </c>
      <c r="O67" s="14" t="s">
        <v>410</v>
      </c>
      <c r="P67" s="57" t="s">
        <v>329</v>
      </c>
      <c r="Q67" s="14" t="s">
        <v>409</v>
      </c>
      <c r="R67" s="14"/>
    </row>
    <row r="68" spans="1:18" x14ac:dyDescent="0.2">
      <c r="A68" s="14"/>
      <c r="B68" s="14"/>
      <c r="C68" s="14"/>
      <c r="D68" s="14"/>
      <c r="E68" s="14"/>
      <c r="F68" s="14"/>
      <c r="G68" s="14"/>
      <c r="H68" s="14"/>
      <c r="I68" s="14"/>
      <c r="J68" s="14"/>
      <c r="K68" s="14"/>
      <c r="L68" s="14"/>
      <c r="M68" s="14"/>
      <c r="N68" s="14"/>
      <c r="O68" s="14"/>
      <c r="P68" s="14"/>
      <c r="Q68" s="14"/>
      <c r="R68" s="14"/>
    </row>
    <row r="69" spans="1:18" x14ac:dyDescent="0.2">
      <c r="A69" s="14"/>
      <c r="B69" s="14"/>
      <c r="C69" s="14"/>
      <c r="D69" s="14"/>
      <c r="E69" s="14"/>
      <c r="F69" s="14"/>
      <c r="G69" s="14"/>
      <c r="H69" s="14"/>
      <c r="I69" s="14"/>
      <c r="J69" s="14"/>
      <c r="K69" s="14"/>
      <c r="L69" s="14"/>
      <c r="M69" s="14"/>
      <c r="N69" s="14"/>
      <c r="O69" s="14"/>
      <c r="P69" s="14"/>
      <c r="Q69" s="14"/>
      <c r="R69" s="14"/>
    </row>
    <row r="70" spans="1:18" x14ac:dyDescent="0.2">
      <c r="A70" s="14"/>
      <c r="B70" s="14"/>
      <c r="C70" s="14"/>
      <c r="D70" s="14"/>
      <c r="E70" s="14"/>
      <c r="F70" s="14"/>
      <c r="G70" s="14"/>
      <c r="H70" s="14"/>
      <c r="I70" s="14"/>
      <c r="J70" s="14"/>
      <c r="K70" s="14"/>
      <c r="L70" s="14"/>
      <c r="M70" s="14"/>
      <c r="N70" s="14"/>
      <c r="O70" s="14"/>
      <c r="P70" s="14"/>
      <c r="Q70" s="14"/>
      <c r="R70" s="14"/>
    </row>
    <row r="71" spans="1:18" x14ac:dyDescent="0.2">
      <c r="A71" s="14"/>
      <c r="B71" s="14"/>
      <c r="C71" s="14"/>
      <c r="D71" s="14"/>
      <c r="E71" s="14"/>
      <c r="F71" s="14"/>
      <c r="G71" s="14"/>
      <c r="H71" s="14"/>
      <c r="I71" s="14"/>
      <c r="J71" s="14"/>
      <c r="K71" s="14"/>
      <c r="L71" s="14"/>
      <c r="M71" s="14"/>
      <c r="N71" s="14"/>
      <c r="O71" s="14"/>
      <c r="P71" s="14"/>
      <c r="Q71" s="14"/>
      <c r="R71" s="14"/>
    </row>
    <row r="72" spans="1:18" x14ac:dyDescent="0.2">
      <c r="A72" s="14"/>
      <c r="B72" s="14"/>
      <c r="C72" s="14"/>
      <c r="D72" s="14"/>
      <c r="E72" s="14"/>
      <c r="F72" s="14"/>
      <c r="G72" s="14"/>
      <c r="H72" s="14"/>
      <c r="I72" s="14"/>
      <c r="J72" s="14"/>
      <c r="K72" s="14"/>
      <c r="L72" s="14"/>
      <c r="M72" s="14"/>
      <c r="N72" s="14"/>
      <c r="O72" s="14"/>
      <c r="P72" s="14"/>
      <c r="Q72" s="14"/>
      <c r="R72" s="14"/>
    </row>
    <row r="73" spans="1:18" x14ac:dyDescent="0.2">
      <c r="A73" s="14"/>
      <c r="B73" s="14"/>
      <c r="C73" s="14"/>
      <c r="D73" s="14"/>
      <c r="E73" s="14"/>
      <c r="F73" s="14"/>
      <c r="G73" s="14"/>
      <c r="H73" s="14"/>
      <c r="I73" s="14"/>
      <c r="J73" s="14"/>
      <c r="K73" s="14"/>
      <c r="L73" s="14"/>
      <c r="M73" s="14"/>
      <c r="N73" s="14"/>
      <c r="O73" s="14"/>
      <c r="P73" s="14"/>
      <c r="Q73" s="14"/>
      <c r="R73" s="14"/>
    </row>
    <row r="74" spans="1:18" x14ac:dyDescent="0.2">
      <c r="A74" s="14"/>
      <c r="B74" s="14"/>
      <c r="C74" s="14"/>
      <c r="D74" s="14"/>
      <c r="E74" s="14"/>
      <c r="F74" s="14"/>
      <c r="G74" s="14"/>
      <c r="H74" s="14"/>
      <c r="I74" s="14"/>
      <c r="J74" s="14"/>
      <c r="K74" s="14"/>
      <c r="L74" s="14"/>
      <c r="M74" s="14"/>
      <c r="N74" s="14"/>
      <c r="O74" s="14"/>
      <c r="P74" s="14"/>
      <c r="Q74" s="14"/>
      <c r="R74" s="14"/>
    </row>
    <row r="75" spans="1:18" x14ac:dyDescent="0.2">
      <c r="A75" s="14"/>
      <c r="B75" s="14"/>
      <c r="C75" s="14"/>
      <c r="D75" s="14"/>
      <c r="E75" s="14"/>
      <c r="F75" s="14"/>
      <c r="G75" s="14"/>
      <c r="H75" s="14"/>
      <c r="I75" s="14"/>
      <c r="J75" s="14"/>
      <c r="K75" s="14"/>
      <c r="L75" s="14"/>
      <c r="M75" s="14"/>
      <c r="N75" s="14"/>
      <c r="O75" s="14"/>
      <c r="P75" s="14"/>
      <c r="Q75" s="14"/>
      <c r="R75" s="14"/>
    </row>
    <row r="76" spans="1:18" x14ac:dyDescent="0.2">
      <c r="A76" s="14"/>
      <c r="B76" s="14"/>
      <c r="C76" s="14"/>
      <c r="D76" s="14"/>
      <c r="E76" s="14"/>
      <c r="F76" s="14"/>
      <c r="G76" s="14"/>
      <c r="H76" s="14"/>
      <c r="I76" s="14"/>
      <c r="J76" s="14"/>
      <c r="K76" s="14"/>
      <c r="L76" s="14"/>
      <c r="M76" s="14"/>
      <c r="N76" s="14"/>
      <c r="O76" s="14"/>
      <c r="P76" s="14"/>
      <c r="Q76" s="14"/>
      <c r="R76" s="14"/>
    </row>
    <row r="77" spans="1:18" x14ac:dyDescent="0.2">
      <c r="A77" s="14"/>
      <c r="B77" s="14"/>
      <c r="C77" s="14"/>
      <c r="D77" s="14"/>
      <c r="E77" s="14"/>
      <c r="F77" s="14"/>
      <c r="G77" s="14"/>
      <c r="H77" s="14"/>
      <c r="I77" s="14"/>
      <c r="J77" s="14"/>
      <c r="K77" s="14"/>
      <c r="L77" s="14"/>
      <c r="M77" s="14"/>
      <c r="N77" s="14"/>
      <c r="O77" s="14"/>
      <c r="P77" s="14"/>
      <c r="Q77" s="14"/>
      <c r="R77" s="14"/>
    </row>
    <row r="78" spans="1:18" x14ac:dyDescent="0.2">
      <c r="A78" s="14"/>
      <c r="B78" s="14"/>
      <c r="C78" s="14"/>
      <c r="D78" s="14"/>
      <c r="E78" s="14"/>
      <c r="F78" s="14"/>
      <c r="G78" s="14"/>
      <c r="H78" s="14"/>
      <c r="I78" s="14"/>
      <c r="J78" s="14"/>
      <c r="K78" s="14"/>
      <c r="L78" s="14"/>
      <c r="M78" s="14"/>
      <c r="N78" s="14"/>
      <c r="O78" s="14"/>
      <c r="P78" s="14"/>
      <c r="Q78" s="14"/>
      <c r="R78" s="14"/>
    </row>
    <row r="79" spans="1:18" x14ac:dyDescent="0.2">
      <c r="A79" s="14"/>
      <c r="B79" s="14"/>
      <c r="C79" s="14"/>
      <c r="D79" s="14"/>
      <c r="E79" s="14"/>
      <c r="F79" s="14"/>
      <c r="G79" s="14"/>
      <c r="H79" s="14"/>
      <c r="I79" s="14"/>
      <c r="J79" s="14"/>
      <c r="K79" s="14"/>
      <c r="L79" s="14"/>
      <c r="M79" s="14"/>
      <c r="N79" s="14"/>
      <c r="O79" s="14"/>
      <c r="P79" s="14"/>
      <c r="Q79" s="14"/>
      <c r="R79" s="14"/>
    </row>
    <row r="80" spans="1:18" x14ac:dyDescent="0.2">
      <c r="A80" s="14"/>
      <c r="B80" s="14"/>
      <c r="C80" s="14"/>
      <c r="D80" s="14"/>
      <c r="E80" s="14"/>
      <c r="F80" s="14"/>
      <c r="G80" s="14"/>
      <c r="H80" s="14"/>
      <c r="I80" s="14"/>
      <c r="J80" s="14"/>
      <c r="K80" s="14"/>
      <c r="L80" s="14"/>
      <c r="M80" s="14"/>
      <c r="N80" s="14"/>
      <c r="O80" s="14"/>
      <c r="P80" s="14"/>
      <c r="Q80" s="14"/>
      <c r="R80" s="14"/>
    </row>
    <row r="81" spans="1:18" x14ac:dyDescent="0.2">
      <c r="A81" s="14"/>
      <c r="B81" s="14"/>
      <c r="C81" s="14"/>
      <c r="D81" s="14"/>
      <c r="E81" s="14"/>
      <c r="F81" s="14"/>
      <c r="G81" s="14"/>
      <c r="H81" s="14"/>
      <c r="I81" s="14"/>
      <c r="J81" s="14"/>
      <c r="K81" s="14"/>
      <c r="L81" s="14"/>
      <c r="M81" s="14"/>
      <c r="N81" s="14"/>
      <c r="O81" s="14"/>
      <c r="P81" s="14"/>
      <c r="Q81" s="14"/>
      <c r="R81" s="14"/>
    </row>
    <row r="82" spans="1:18" x14ac:dyDescent="0.2">
      <c r="A82" s="14"/>
      <c r="B82" s="14"/>
      <c r="C82" s="14"/>
      <c r="D82" s="14"/>
      <c r="E82" s="14"/>
      <c r="F82" s="14"/>
      <c r="G82" s="14"/>
      <c r="H82" s="14"/>
      <c r="I82" s="14"/>
      <c r="J82" s="14"/>
      <c r="K82" s="14"/>
      <c r="L82" s="14"/>
      <c r="M82" s="14"/>
      <c r="N82" s="14"/>
      <c r="O82" s="14"/>
      <c r="P82" s="14"/>
      <c r="Q82" s="14"/>
      <c r="R82" s="14"/>
    </row>
    <row r="83" spans="1:18" x14ac:dyDescent="0.2">
      <c r="A83" s="14"/>
      <c r="B83" s="14"/>
      <c r="C83" s="14"/>
      <c r="D83" s="14"/>
      <c r="E83" s="14"/>
      <c r="F83" s="14"/>
      <c r="G83" s="14"/>
      <c r="H83" s="14"/>
      <c r="I83" s="14"/>
      <c r="J83" s="14"/>
      <c r="K83" s="14"/>
      <c r="L83" s="14"/>
      <c r="M83" s="14"/>
      <c r="N83" s="14"/>
      <c r="O83" s="14"/>
      <c r="P83" s="14"/>
      <c r="Q83" s="14"/>
      <c r="R83" s="14"/>
    </row>
    <row r="84" spans="1:18" x14ac:dyDescent="0.2">
      <c r="A84" s="14"/>
      <c r="B84" s="14"/>
      <c r="C84" s="14"/>
      <c r="D84" s="14"/>
      <c r="E84" s="14"/>
      <c r="F84" s="14"/>
      <c r="G84" s="14"/>
      <c r="H84" s="14"/>
      <c r="I84" s="14"/>
      <c r="J84" s="14"/>
      <c r="K84" s="14"/>
      <c r="L84" s="14"/>
      <c r="M84" s="14"/>
      <c r="N84" s="14"/>
      <c r="O84" s="14"/>
      <c r="P84" s="14"/>
      <c r="Q84" s="14"/>
      <c r="R84" s="14"/>
    </row>
    <row r="85" spans="1:18" x14ac:dyDescent="0.2">
      <c r="A85" s="14"/>
      <c r="B85" s="14"/>
      <c r="C85" s="14"/>
      <c r="D85" s="14"/>
      <c r="E85" s="14"/>
      <c r="F85" s="14"/>
      <c r="G85" s="14"/>
      <c r="H85" s="14"/>
      <c r="I85" s="14"/>
      <c r="J85" s="14"/>
      <c r="K85" s="14"/>
      <c r="L85" s="14"/>
      <c r="M85" s="14"/>
      <c r="N85" s="14"/>
      <c r="O85" s="14"/>
      <c r="P85" s="14"/>
      <c r="Q85" s="14"/>
      <c r="R85" s="14"/>
    </row>
    <row r="86" spans="1:18" x14ac:dyDescent="0.2">
      <c r="A86" s="14"/>
      <c r="B86" s="14"/>
      <c r="C86" s="14"/>
      <c r="D86" s="14"/>
      <c r="E86" s="14"/>
      <c r="F86" s="14"/>
      <c r="G86" s="14"/>
      <c r="H86" s="14"/>
      <c r="I86" s="14"/>
      <c r="J86" s="14"/>
      <c r="K86" s="14"/>
      <c r="L86" s="14"/>
      <c r="M86" s="14"/>
      <c r="N86" s="14"/>
      <c r="O86" s="14"/>
      <c r="P86" s="14"/>
      <c r="Q86" s="14"/>
      <c r="R86" s="14"/>
    </row>
    <row r="87" spans="1:18" x14ac:dyDescent="0.2">
      <c r="A87" s="14"/>
      <c r="B87" s="14"/>
      <c r="C87" s="14"/>
      <c r="D87" s="14"/>
      <c r="E87" s="14"/>
      <c r="F87" s="14"/>
      <c r="G87" s="14"/>
      <c r="H87" s="14"/>
      <c r="I87" s="14"/>
      <c r="J87" s="14"/>
      <c r="K87" s="14"/>
      <c r="L87" s="14"/>
      <c r="M87" s="14"/>
      <c r="N87" s="14"/>
      <c r="O87" s="14"/>
      <c r="P87" s="14"/>
      <c r="Q87" s="14"/>
      <c r="R87" s="14"/>
    </row>
    <row r="88" spans="1:18" x14ac:dyDescent="0.2">
      <c r="A88" s="14"/>
      <c r="B88" s="14"/>
      <c r="C88" s="14"/>
      <c r="D88" s="14"/>
      <c r="E88" s="14"/>
      <c r="F88" s="14"/>
      <c r="G88" s="14"/>
      <c r="H88" s="14"/>
      <c r="I88" s="14"/>
      <c r="J88" s="14"/>
      <c r="K88" s="14"/>
      <c r="L88" s="14"/>
      <c r="M88" s="14"/>
      <c r="N88" s="14"/>
      <c r="O88" s="14"/>
      <c r="P88" s="14"/>
      <c r="Q88" s="14"/>
      <c r="R88" s="14"/>
    </row>
    <row r="89" spans="1:18" x14ac:dyDescent="0.2">
      <c r="A89" s="14"/>
      <c r="B89" s="14"/>
      <c r="C89" s="14"/>
      <c r="D89" s="14"/>
      <c r="E89" s="14"/>
      <c r="F89" s="14"/>
      <c r="G89" s="14"/>
      <c r="H89" s="14"/>
      <c r="I89" s="14"/>
      <c r="J89" s="14"/>
      <c r="K89" s="14"/>
      <c r="L89" s="14"/>
      <c r="M89" s="14"/>
      <c r="N89" s="14"/>
      <c r="O89" s="14"/>
      <c r="P89" s="14"/>
      <c r="Q89" s="14"/>
      <c r="R89" s="14"/>
    </row>
    <row r="90" spans="1:18" x14ac:dyDescent="0.2">
      <c r="A90" s="14"/>
      <c r="B90" s="14"/>
      <c r="C90" s="14"/>
      <c r="D90" s="14"/>
      <c r="E90" s="14"/>
      <c r="F90" s="14"/>
      <c r="G90" s="14"/>
      <c r="H90" s="14"/>
      <c r="I90" s="14"/>
      <c r="J90" s="14"/>
      <c r="K90" s="14"/>
      <c r="L90" s="14"/>
      <c r="M90" s="14"/>
      <c r="N90" s="14"/>
      <c r="O90" s="14"/>
      <c r="P90" s="14"/>
      <c r="Q90" s="14"/>
      <c r="R90" s="14"/>
    </row>
    <row r="91" spans="1:18" x14ac:dyDescent="0.2">
      <c r="A91" s="14"/>
      <c r="B91" s="14"/>
      <c r="C91" s="14"/>
      <c r="D91" s="14"/>
      <c r="E91" s="14"/>
      <c r="F91" s="14"/>
      <c r="G91" s="14"/>
      <c r="H91" s="14"/>
      <c r="I91" s="14"/>
      <c r="J91" s="14"/>
      <c r="K91" s="14"/>
      <c r="L91" s="14"/>
      <c r="M91" s="14"/>
      <c r="N91" s="14"/>
      <c r="O91" s="14"/>
      <c r="P91" s="14"/>
      <c r="Q91" s="14"/>
      <c r="R91" s="14"/>
    </row>
    <row r="92" spans="1:18" x14ac:dyDescent="0.2">
      <c r="A92" s="14"/>
      <c r="B92" s="14"/>
      <c r="C92" s="14"/>
      <c r="D92" s="14"/>
      <c r="E92" s="14"/>
      <c r="F92" s="14"/>
      <c r="G92" s="14"/>
      <c r="H92" s="14"/>
      <c r="I92" s="14"/>
      <c r="J92" s="14"/>
      <c r="K92" s="14"/>
      <c r="L92" s="14"/>
      <c r="M92" s="14"/>
      <c r="N92" s="14"/>
      <c r="O92" s="14"/>
      <c r="P92" s="14"/>
      <c r="Q92" s="14"/>
      <c r="R92" s="14"/>
    </row>
    <row r="93" spans="1:18" x14ac:dyDescent="0.2">
      <c r="A93" s="14"/>
      <c r="B93" s="14"/>
      <c r="C93" s="14"/>
      <c r="D93" s="14"/>
      <c r="E93" s="14"/>
      <c r="F93" s="14"/>
      <c r="G93" s="14"/>
      <c r="H93" s="14"/>
      <c r="I93" s="14"/>
      <c r="J93" s="14"/>
      <c r="K93" s="14"/>
      <c r="L93" s="14"/>
      <c r="M93" s="14"/>
      <c r="N93" s="14"/>
      <c r="O93" s="14"/>
      <c r="P93" s="14"/>
      <c r="Q93" s="14"/>
      <c r="R93" s="14"/>
    </row>
    <row r="94" spans="1:18" x14ac:dyDescent="0.2">
      <c r="A94" s="14"/>
      <c r="B94" s="14"/>
      <c r="C94" s="14"/>
      <c r="D94" s="14"/>
      <c r="E94" s="14"/>
      <c r="F94" s="14"/>
      <c r="G94" s="14"/>
      <c r="H94" s="14"/>
      <c r="I94" s="14"/>
      <c r="J94" s="14"/>
      <c r="K94" s="14"/>
      <c r="L94" s="14"/>
      <c r="M94" s="14"/>
      <c r="N94" s="14"/>
      <c r="O94" s="14"/>
      <c r="P94" s="14"/>
      <c r="Q94" s="14"/>
      <c r="R94" s="14"/>
    </row>
    <row r="95" spans="1:18" x14ac:dyDescent="0.2">
      <c r="A95" s="14"/>
      <c r="B95" s="14"/>
      <c r="C95" s="14"/>
      <c r="D95" s="14"/>
      <c r="E95" s="14"/>
      <c r="F95" s="14"/>
      <c r="G95" s="14"/>
      <c r="H95" s="14"/>
      <c r="I95" s="14"/>
      <c r="J95" s="14"/>
      <c r="K95" s="14"/>
      <c r="L95" s="14"/>
      <c r="M95" s="14"/>
      <c r="N95" s="14"/>
      <c r="O95" s="14"/>
      <c r="P95" s="14"/>
      <c r="Q95" s="14"/>
      <c r="R95" s="14"/>
    </row>
    <row r="96" spans="1:18" x14ac:dyDescent="0.2">
      <c r="A96" s="14"/>
      <c r="B96" s="14"/>
      <c r="C96" s="14"/>
      <c r="D96" s="14"/>
      <c r="E96" s="14"/>
      <c r="F96" s="14"/>
      <c r="G96" s="14"/>
      <c r="H96" s="14"/>
      <c r="I96" s="14"/>
      <c r="J96" s="14"/>
      <c r="K96" s="14"/>
      <c r="L96" s="14"/>
      <c r="M96" s="14"/>
      <c r="N96" s="14"/>
      <c r="O96" s="14"/>
      <c r="P96" s="14"/>
      <c r="Q96" s="14"/>
      <c r="R96" s="14"/>
    </row>
    <row r="97" spans="1:18" x14ac:dyDescent="0.2">
      <c r="A97" s="14"/>
      <c r="B97" s="14"/>
      <c r="C97" s="14"/>
      <c r="D97" s="14"/>
      <c r="E97" s="14"/>
      <c r="F97" s="14"/>
      <c r="G97" s="14"/>
      <c r="H97" s="14"/>
      <c r="I97" s="14"/>
      <c r="J97" s="14"/>
      <c r="K97" s="14"/>
      <c r="L97" s="14"/>
      <c r="M97" s="14"/>
      <c r="N97" s="14"/>
      <c r="O97" s="14"/>
      <c r="P97" s="14"/>
      <c r="Q97" s="14"/>
      <c r="R97" s="14"/>
    </row>
    <row r="98" spans="1:18" x14ac:dyDescent="0.2">
      <c r="A98" s="14"/>
      <c r="B98" s="14"/>
      <c r="C98" s="14"/>
      <c r="D98" s="14"/>
      <c r="E98" s="14"/>
      <c r="F98" s="14"/>
      <c r="G98" s="14"/>
      <c r="H98" s="14"/>
      <c r="I98" s="14"/>
      <c r="J98" s="14"/>
      <c r="K98" s="14"/>
      <c r="L98" s="14"/>
      <c r="M98" s="14"/>
      <c r="N98" s="14"/>
      <c r="O98" s="14"/>
      <c r="P98" s="14"/>
      <c r="Q98" s="14"/>
      <c r="R98" s="14"/>
    </row>
    <row r="99" spans="1:18" x14ac:dyDescent="0.2">
      <c r="A99" s="14"/>
      <c r="B99" s="14"/>
      <c r="C99" s="14"/>
      <c r="D99" s="14"/>
      <c r="E99" s="14"/>
      <c r="F99" s="14"/>
      <c r="G99" s="14"/>
      <c r="H99" s="14"/>
      <c r="I99" s="14"/>
      <c r="J99" s="14"/>
      <c r="K99" s="14"/>
      <c r="L99" s="14"/>
      <c r="M99" s="14"/>
      <c r="N99" s="14"/>
      <c r="O99" s="14"/>
      <c r="P99" s="14"/>
      <c r="Q99" s="14"/>
      <c r="R99" s="14"/>
    </row>
    <row r="100" spans="1:18" x14ac:dyDescent="0.2">
      <c r="A100" s="14"/>
      <c r="B100" s="14"/>
      <c r="C100" s="14"/>
      <c r="D100" s="14"/>
      <c r="E100" s="14"/>
      <c r="F100" s="14"/>
      <c r="G100" s="14"/>
      <c r="H100" s="14"/>
      <c r="I100" s="14"/>
      <c r="J100" s="14"/>
      <c r="K100" s="14"/>
      <c r="L100" s="14"/>
      <c r="M100" s="14"/>
      <c r="N100" s="14"/>
      <c r="O100" s="14"/>
      <c r="P100" s="14"/>
      <c r="Q100" s="14"/>
      <c r="R100" s="14"/>
    </row>
    <row r="101" spans="1:18" x14ac:dyDescent="0.2">
      <c r="A101" s="14"/>
      <c r="B101" s="14"/>
      <c r="C101" s="14"/>
      <c r="D101" s="14"/>
      <c r="E101" s="14"/>
      <c r="F101" s="14"/>
      <c r="G101" s="14"/>
      <c r="H101" s="14"/>
      <c r="I101" s="14"/>
      <c r="J101" s="14"/>
      <c r="K101" s="14"/>
      <c r="L101" s="14"/>
      <c r="M101" s="14"/>
      <c r="N101" s="14"/>
      <c r="O101" s="14"/>
      <c r="P101" s="14"/>
      <c r="Q101" s="14"/>
      <c r="R101" s="14"/>
    </row>
    <row r="102" spans="1:18" x14ac:dyDescent="0.2">
      <c r="A102" s="14"/>
      <c r="B102" s="14"/>
      <c r="C102" s="14"/>
      <c r="D102" s="14"/>
      <c r="E102" s="14"/>
      <c r="F102" s="14"/>
      <c r="G102" s="14"/>
      <c r="H102" s="14"/>
      <c r="I102" s="14"/>
      <c r="J102" s="14"/>
      <c r="K102" s="14"/>
      <c r="L102" s="14"/>
      <c r="M102" s="14"/>
      <c r="N102" s="14"/>
      <c r="O102" s="14"/>
      <c r="P102" s="14"/>
      <c r="Q102" s="14"/>
      <c r="R102" s="14"/>
    </row>
    <row r="103" spans="1:18" x14ac:dyDescent="0.2">
      <c r="A103" s="14"/>
      <c r="B103" s="14"/>
      <c r="C103" s="14"/>
      <c r="D103" s="14"/>
      <c r="E103" s="14"/>
      <c r="F103" s="14"/>
      <c r="G103" s="14"/>
      <c r="H103" s="14"/>
      <c r="I103" s="14"/>
      <c r="J103" s="14"/>
      <c r="K103" s="14"/>
      <c r="L103" s="14"/>
      <c r="M103" s="14"/>
      <c r="N103" s="14"/>
      <c r="O103" s="14"/>
      <c r="P103" s="14"/>
      <c r="Q103" s="14"/>
      <c r="R103" s="14"/>
    </row>
    <row r="104" spans="1:18" x14ac:dyDescent="0.2">
      <c r="A104" s="14"/>
      <c r="B104" s="14"/>
      <c r="C104" s="14"/>
      <c r="D104" s="14"/>
      <c r="E104" s="14"/>
      <c r="F104" s="14"/>
      <c r="G104" s="14"/>
      <c r="H104" s="14"/>
      <c r="I104" s="14"/>
      <c r="J104" s="14"/>
      <c r="K104" s="14"/>
      <c r="L104" s="14"/>
      <c r="M104" s="14"/>
      <c r="N104" s="14"/>
      <c r="O104" s="14"/>
      <c r="P104" s="14"/>
      <c r="Q104" s="14"/>
      <c r="R104" s="14"/>
    </row>
    <row r="105" spans="1:18" x14ac:dyDescent="0.2">
      <c r="A105" s="14"/>
      <c r="B105" s="14"/>
      <c r="C105" s="14"/>
      <c r="D105" s="14"/>
      <c r="E105" s="14"/>
      <c r="F105" s="14"/>
      <c r="G105" s="14"/>
      <c r="H105" s="14"/>
      <c r="I105" s="14"/>
      <c r="J105" s="14"/>
      <c r="K105" s="14"/>
      <c r="L105" s="14"/>
      <c r="M105" s="14"/>
      <c r="N105" s="14"/>
      <c r="O105" s="14"/>
      <c r="P105" s="14"/>
      <c r="Q105" s="14"/>
      <c r="R105" s="14"/>
    </row>
    <row r="106" spans="1:18" x14ac:dyDescent="0.2">
      <c r="A106" s="14"/>
      <c r="B106" s="14"/>
      <c r="C106" s="14"/>
      <c r="D106" s="14"/>
      <c r="E106" s="14"/>
      <c r="F106" s="14"/>
      <c r="G106" s="14"/>
      <c r="H106" s="14"/>
      <c r="I106" s="14"/>
      <c r="J106" s="14"/>
      <c r="K106" s="14"/>
      <c r="L106" s="14"/>
      <c r="M106" s="14"/>
      <c r="N106" s="14"/>
      <c r="O106" s="14"/>
      <c r="P106" s="14"/>
      <c r="Q106" s="14"/>
      <c r="R106" s="14"/>
    </row>
    <row r="107" spans="1:18" x14ac:dyDescent="0.2">
      <c r="A107" s="14"/>
      <c r="B107" s="14"/>
      <c r="C107" s="14"/>
      <c r="D107" s="14"/>
      <c r="E107" s="14"/>
      <c r="F107" s="14"/>
      <c r="G107" s="14"/>
      <c r="H107" s="14"/>
      <c r="I107" s="14"/>
      <c r="J107" s="14"/>
      <c r="K107" s="14"/>
      <c r="L107" s="14"/>
      <c r="M107" s="14"/>
      <c r="N107" s="14"/>
      <c r="O107" s="14"/>
      <c r="P107" s="14"/>
      <c r="Q107" s="14"/>
      <c r="R107" s="14"/>
    </row>
    <row r="108" spans="1:18" x14ac:dyDescent="0.2">
      <c r="A108" s="14"/>
      <c r="B108" s="14"/>
      <c r="C108" s="14"/>
      <c r="D108" s="14"/>
      <c r="E108" s="14"/>
      <c r="F108" s="14"/>
      <c r="G108" s="14"/>
      <c r="H108" s="14"/>
      <c r="I108" s="14"/>
      <c r="J108" s="14"/>
      <c r="K108" s="14"/>
      <c r="L108" s="14"/>
      <c r="M108" s="14"/>
      <c r="N108" s="14"/>
      <c r="O108" s="14"/>
      <c r="P108" s="14"/>
      <c r="Q108" s="14"/>
      <c r="R108" s="14"/>
    </row>
    <row r="109" spans="1:18" x14ac:dyDescent="0.2">
      <c r="A109" s="14"/>
      <c r="B109" s="14"/>
      <c r="C109" s="14"/>
      <c r="D109" s="14"/>
      <c r="E109" s="14"/>
      <c r="F109" s="14"/>
      <c r="G109" s="14"/>
      <c r="H109" s="14"/>
      <c r="I109" s="14"/>
      <c r="J109" s="14"/>
      <c r="K109" s="14"/>
      <c r="L109" s="14"/>
      <c r="M109" s="14"/>
      <c r="N109" s="14"/>
      <c r="O109" s="14"/>
      <c r="P109" s="14"/>
      <c r="Q109" s="14"/>
      <c r="R109" s="14"/>
    </row>
    <row r="110" spans="1:18" x14ac:dyDescent="0.2">
      <c r="A110" s="14"/>
      <c r="B110" s="14"/>
      <c r="C110" s="14"/>
      <c r="D110" s="14"/>
      <c r="E110" s="14"/>
      <c r="F110" s="14"/>
      <c r="G110" s="14"/>
      <c r="H110" s="14"/>
      <c r="I110" s="14"/>
      <c r="J110" s="14"/>
      <c r="K110" s="14"/>
      <c r="L110" s="14"/>
      <c r="M110" s="14"/>
      <c r="N110" s="14"/>
      <c r="O110" s="14"/>
      <c r="P110" s="14"/>
      <c r="Q110" s="14"/>
      <c r="R110" s="14"/>
    </row>
    <row r="111" spans="1:18" x14ac:dyDescent="0.2">
      <c r="A111" s="14"/>
      <c r="B111" s="14"/>
      <c r="C111" s="14"/>
      <c r="D111" s="14"/>
      <c r="E111" s="14"/>
      <c r="F111" s="14"/>
      <c r="G111" s="14"/>
      <c r="H111" s="14"/>
      <c r="I111" s="14"/>
      <c r="J111" s="14"/>
      <c r="K111" s="14"/>
      <c r="L111" s="14"/>
      <c r="M111" s="14"/>
      <c r="N111" s="14"/>
      <c r="O111" s="14"/>
      <c r="P111" s="14"/>
      <c r="Q111" s="14"/>
      <c r="R111" s="14"/>
    </row>
    <row r="112" spans="1:18" x14ac:dyDescent="0.2">
      <c r="A112" s="14"/>
      <c r="B112" s="14"/>
      <c r="C112" s="14"/>
      <c r="D112" s="14"/>
      <c r="E112" s="14"/>
      <c r="F112" s="14"/>
      <c r="G112" s="14"/>
      <c r="H112" s="14"/>
      <c r="I112" s="14"/>
      <c r="J112" s="14"/>
      <c r="K112" s="14"/>
      <c r="L112" s="14"/>
      <c r="M112" s="14"/>
      <c r="N112" s="14"/>
      <c r="O112" s="14"/>
      <c r="P112" s="14"/>
      <c r="Q112" s="14"/>
      <c r="R112" s="14"/>
    </row>
    <row r="113" spans="1:18" x14ac:dyDescent="0.2">
      <c r="A113" s="14"/>
      <c r="B113" s="14"/>
      <c r="C113" s="14"/>
      <c r="D113" s="14"/>
      <c r="E113" s="14"/>
      <c r="F113" s="14"/>
      <c r="G113" s="14"/>
      <c r="H113" s="14"/>
      <c r="I113" s="14"/>
      <c r="J113" s="14"/>
      <c r="K113" s="14"/>
      <c r="L113" s="14"/>
      <c r="M113" s="14"/>
      <c r="N113" s="14"/>
      <c r="O113" s="14"/>
      <c r="P113" s="14"/>
      <c r="Q113" s="14"/>
      <c r="R113" s="14"/>
    </row>
    <row r="114" spans="1:18" x14ac:dyDescent="0.2">
      <c r="A114" s="14"/>
      <c r="B114" s="14"/>
      <c r="C114" s="14"/>
      <c r="D114" s="14"/>
      <c r="E114" s="14"/>
      <c r="F114" s="14"/>
      <c r="G114" s="14"/>
      <c r="H114" s="14"/>
      <c r="I114" s="14"/>
      <c r="J114" s="14"/>
      <c r="K114" s="14"/>
      <c r="L114" s="14"/>
      <c r="M114" s="14"/>
      <c r="N114" s="14"/>
      <c r="O114" s="14"/>
      <c r="P114" s="14"/>
      <c r="Q114" s="14"/>
      <c r="R114" s="14"/>
    </row>
    <row r="115" spans="1:18" x14ac:dyDescent="0.2">
      <c r="A115" s="14"/>
      <c r="B115" s="14"/>
      <c r="C115" s="14"/>
      <c r="D115" s="14"/>
      <c r="E115" s="14"/>
      <c r="F115" s="14"/>
      <c r="G115" s="14"/>
      <c r="H115" s="14"/>
      <c r="I115" s="14"/>
      <c r="J115" s="14"/>
      <c r="K115" s="14"/>
      <c r="L115" s="14"/>
      <c r="M115" s="14"/>
      <c r="N115" s="14"/>
      <c r="O115" s="14"/>
      <c r="P115" s="14"/>
      <c r="Q115" s="14"/>
      <c r="R115" s="14"/>
    </row>
    <row r="116" spans="1:18" x14ac:dyDescent="0.2">
      <c r="A116" s="14"/>
      <c r="B116" s="14"/>
      <c r="C116" s="14"/>
      <c r="D116" s="14"/>
      <c r="E116" s="14"/>
      <c r="F116" s="14"/>
      <c r="G116" s="14"/>
      <c r="H116" s="14"/>
      <c r="I116" s="14"/>
      <c r="J116" s="14"/>
      <c r="K116" s="14"/>
      <c r="L116" s="14"/>
      <c r="M116" s="14"/>
      <c r="N116" s="14"/>
      <c r="O116" s="14"/>
      <c r="P116" s="14"/>
      <c r="Q116" s="14"/>
      <c r="R116" s="14"/>
    </row>
    <row r="117" spans="1:18" x14ac:dyDescent="0.2">
      <c r="A117" s="14"/>
      <c r="B117" s="14"/>
      <c r="C117" s="14"/>
      <c r="D117" s="14"/>
      <c r="E117" s="14"/>
      <c r="F117" s="14"/>
      <c r="G117" s="14"/>
      <c r="H117" s="14"/>
      <c r="I117" s="14"/>
      <c r="J117" s="14"/>
      <c r="K117" s="14"/>
      <c r="L117" s="14"/>
      <c r="M117" s="14"/>
      <c r="N117" s="14"/>
      <c r="O117" s="14"/>
      <c r="P117" s="14"/>
      <c r="Q117" s="14"/>
      <c r="R117" s="14"/>
    </row>
    <row r="118" spans="1:18" x14ac:dyDescent="0.2">
      <c r="A118" s="14"/>
      <c r="B118" s="14"/>
      <c r="C118" s="14"/>
      <c r="D118" s="14"/>
      <c r="E118" s="14"/>
      <c r="F118" s="14"/>
      <c r="G118" s="14"/>
      <c r="H118" s="14"/>
      <c r="I118" s="14"/>
      <c r="J118" s="14"/>
      <c r="K118" s="14"/>
      <c r="L118" s="14"/>
      <c r="M118" s="14"/>
      <c r="N118" s="14"/>
      <c r="O118" s="14"/>
      <c r="P118" s="14"/>
      <c r="Q118" s="14"/>
      <c r="R118" s="14"/>
    </row>
    <row r="119" spans="1:18" x14ac:dyDescent="0.2">
      <c r="A119" s="14"/>
      <c r="B119" s="14"/>
      <c r="C119" s="14"/>
      <c r="D119" s="14"/>
      <c r="E119" s="14"/>
      <c r="F119" s="14"/>
      <c r="G119" s="14"/>
      <c r="H119" s="14"/>
      <c r="I119" s="14"/>
      <c r="J119" s="14"/>
      <c r="K119" s="14"/>
      <c r="L119" s="14"/>
      <c r="M119" s="14"/>
      <c r="N119" s="14"/>
      <c r="O119" s="14"/>
      <c r="P119" s="14"/>
      <c r="Q119" s="14"/>
      <c r="R119" s="14"/>
    </row>
    <row r="120" spans="1:18" x14ac:dyDescent="0.2">
      <c r="A120" s="14"/>
      <c r="B120" s="14"/>
      <c r="C120" s="14"/>
      <c r="D120" s="14"/>
      <c r="E120" s="14"/>
      <c r="F120" s="14"/>
      <c r="G120" s="14"/>
      <c r="H120" s="14"/>
      <c r="I120" s="14"/>
      <c r="J120" s="14"/>
      <c r="K120" s="14"/>
      <c r="L120" s="14"/>
      <c r="M120" s="14"/>
      <c r="N120" s="14"/>
      <c r="O120" s="14"/>
      <c r="P120" s="14"/>
      <c r="Q120" s="14"/>
      <c r="R120" s="14"/>
    </row>
    <row r="121" spans="1:18" x14ac:dyDescent="0.2">
      <c r="A121" s="14"/>
      <c r="B121" s="14"/>
      <c r="C121" s="14"/>
      <c r="D121" s="14"/>
      <c r="E121" s="14"/>
      <c r="F121" s="14"/>
      <c r="G121" s="14"/>
      <c r="H121" s="14"/>
      <c r="I121" s="14"/>
      <c r="J121" s="14"/>
      <c r="K121" s="14"/>
      <c r="L121" s="14"/>
      <c r="M121" s="14"/>
      <c r="N121" s="14"/>
      <c r="O121" s="14"/>
      <c r="P121" s="14"/>
      <c r="Q121" s="14"/>
      <c r="R121" s="14"/>
    </row>
    <row r="122" spans="1:18" x14ac:dyDescent="0.2">
      <c r="A122" s="14"/>
      <c r="B122" s="14"/>
      <c r="C122" s="14"/>
      <c r="D122" s="14"/>
      <c r="E122" s="14"/>
      <c r="F122" s="14"/>
      <c r="G122" s="14"/>
      <c r="H122" s="14"/>
      <c r="I122" s="14"/>
      <c r="J122" s="14"/>
      <c r="K122" s="14"/>
      <c r="L122" s="14"/>
      <c r="M122" s="14"/>
      <c r="N122" s="14"/>
      <c r="O122" s="14"/>
      <c r="P122" s="14"/>
      <c r="Q122" s="14"/>
      <c r="R122" s="14"/>
    </row>
    <row r="123" spans="1:18" x14ac:dyDescent="0.2">
      <c r="A123" s="14"/>
      <c r="B123" s="14"/>
      <c r="C123" s="14"/>
      <c r="D123" s="14"/>
      <c r="E123" s="14"/>
      <c r="F123" s="14"/>
      <c r="G123" s="14"/>
      <c r="H123" s="14"/>
      <c r="I123" s="14"/>
      <c r="J123" s="14"/>
      <c r="K123" s="14"/>
      <c r="L123" s="14"/>
      <c r="M123" s="14"/>
      <c r="N123" s="14"/>
      <c r="O123" s="14"/>
      <c r="P123" s="14"/>
      <c r="Q123" s="14"/>
      <c r="R123" s="14"/>
    </row>
    <row r="124" spans="1:18" x14ac:dyDescent="0.2">
      <c r="A124" s="14"/>
      <c r="B124" s="14"/>
      <c r="C124" s="14"/>
      <c r="D124" s="14"/>
      <c r="E124" s="14"/>
      <c r="F124" s="14"/>
      <c r="G124" s="14"/>
      <c r="H124" s="14"/>
      <c r="I124" s="14"/>
      <c r="J124" s="14"/>
      <c r="K124" s="14"/>
      <c r="L124" s="14"/>
      <c r="M124" s="14"/>
      <c r="N124" s="14"/>
      <c r="O124" s="14"/>
      <c r="P124" s="14"/>
      <c r="Q124" s="14"/>
      <c r="R124" s="14"/>
    </row>
    <row r="125" spans="1:18" x14ac:dyDescent="0.2">
      <c r="A125" s="14"/>
      <c r="B125" s="14"/>
      <c r="C125" s="14"/>
      <c r="D125" s="14"/>
      <c r="E125" s="14"/>
      <c r="F125" s="14"/>
      <c r="G125" s="14"/>
      <c r="H125" s="14"/>
      <c r="I125" s="14"/>
      <c r="J125" s="14"/>
      <c r="K125" s="14"/>
      <c r="L125" s="14"/>
      <c r="M125" s="14"/>
      <c r="N125" s="14"/>
      <c r="O125" s="14"/>
      <c r="P125" s="14"/>
      <c r="Q125" s="14"/>
      <c r="R125" s="14"/>
    </row>
    <row r="126" spans="1:18" x14ac:dyDescent="0.2">
      <c r="A126" s="14"/>
      <c r="B126" s="14"/>
      <c r="C126" s="14"/>
      <c r="D126" s="14"/>
      <c r="E126" s="14"/>
      <c r="F126" s="14"/>
      <c r="G126" s="14"/>
      <c r="H126" s="14"/>
      <c r="I126" s="14"/>
      <c r="J126" s="14"/>
      <c r="K126" s="14"/>
      <c r="L126" s="14"/>
      <c r="M126" s="14"/>
      <c r="N126" s="14"/>
      <c r="O126" s="14"/>
      <c r="P126" s="14"/>
      <c r="Q126" s="14"/>
      <c r="R126" s="14"/>
    </row>
    <row r="127" spans="1:18" x14ac:dyDescent="0.2">
      <c r="A127" s="14"/>
      <c r="B127" s="14"/>
      <c r="C127" s="14"/>
      <c r="D127" s="14"/>
      <c r="E127" s="14"/>
      <c r="F127" s="14"/>
      <c r="G127" s="14"/>
      <c r="H127" s="14"/>
      <c r="I127" s="14"/>
      <c r="J127" s="14"/>
      <c r="K127" s="14"/>
      <c r="L127" s="14"/>
      <c r="M127" s="14"/>
      <c r="N127" s="14"/>
      <c r="O127" s="14"/>
      <c r="P127" s="14"/>
      <c r="Q127" s="14"/>
      <c r="R127" s="14"/>
    </row>
    <row r="128" spans="1:18" x14ac:dyDescent="0.2">
      <c r="A128" s="14"/>
      <c r="B128" s="14"/>
      <c r="C128" s="14"/>
      <c r="D128" s="14"/>
      <c r="E128" s="14"/>
      <c r="F128" s="14"/>
      <c r="G128" s="14"/>
      <c r="H128" s="14"/>
      <c r="I128" s="14"/>
      <c r="J128" s="14"/>
      <c r="K128" s="14"/>
      <c r="L128" s="14"/>
      <c r="M128" s="14"/>
      <c r="N128" s="14"/>
      <c r="O128" s="14"/>
      <c r="P128" s="14"/>
      <c r="Q128" s="14"/>
      <c r="R128" s="14"/>
    </row>
    <row r="129" spans="1:18" x14ac:dyDescent="0.2">
      <c r="A129" s="14"/>
      <c r="B129" s="14"/>
      <c r="C129" s="14"/>
      <c r="D129" s="14"/>
      <c r="E129" s="14"/>
      <c r="F129" s="14"/>
      <c r="G129" s="14"/>
      <c r="H129" s="14"/>
      <c r="I129" s="14"/>
      <c r="J129" s="14"/>
      <c r="K129" s="14"/>
      <c r="L129" s="14"/>
      <c r="M129" s="14"/>
      <c r="N129" s="14"/>
      <c r="O129" s="14"/>
      <c r="P129" s="14"/>
      <c r="Q129" s="14"/>
      <c r="R129" s="14"/>
    </row>
    <row r="130" spans="1:18" x14ac:dyDescent="0.2">
      <c r="A130" s="14"/>
      <c r="B130" s="14"/>
      <c r="C130" s="14"/>
      <c r="D130" s="14"/>
      <c r="E130" s="14"/>
      <c r="F130" s="14"/>
      <c r="G130" s="14"/>
      <c r="H130" s="14"/>
      <c r="I130" s="14"/>
      <c r="J130" s="14"/>
      <c r="K130" s="14"/>
      <c r="L130" s="14"/>
      <c r="M130" s="14"/>
      <c r="N130" s="14"/>
      <c r="O130" s="14"/>
      <c r="P130" s="14"/>
      <c r="Q130" s="14"/>
      <c r="R130" s="14"/>
    </row>
    <row r="131" spans="1:18" x14ac:dyDescent="0.2">
      <c r="A131" s="14"/>
      <c r="B131" s="14"/>
      <c r="C131" s="14"/>
      <c r="D131" s="14"/>
      <c r="E131" s="14"/>
      <c r="F131" s="14"/>
      <c r="G131" s="14"/>
      <c r="H131" s="14"/>
      <c r="I131" s="14"/>
      <c r="J131" s="14"/>
      <c r="K131" s="14"/>
      <c r="L131" s="14"/>
      <c r="M131" s="14"/>
      <c r="N131" s="14"/>
      <c r="O131" s="14"/>
      <c r="P131" s="14"/>
      <c r="Q131" s="14"/>
      <c r="R131" s="14"/>
    </row>
    <row r="132" spans="1:18" x14ac:dyDescent="0.2">
      <c r="A132" s="14"/>
      <c r="B132" s="14"/>
      <c r="C132" s="14"/>
      <c r="D132" s="14"/>
      <c r="E132" s="14"/>
      <c r="F132" s="14"/>
      <c r="G132" s="14"/>
      <c r="H132" s="14"/>
      <c r="I132" s="14"/>
      <c r="J132" s="14"/>
      <c r="K132" s="14"/>
      <c r="L132" s="14"/>
      <c r="M132" s="14"/>
      <c r="N132" s="14"/>
      <c r="O132" s="14"/>
      <c r="P132" s="14"/>
      <c r="Q132" s="14"/>
      <c r="R132" s="14"/>
    </row>
    <row r="133" spans="1:18" x14ac:dyDescent="0.2">
      <c r="A133" s="14"/>
      <c r="B133" s="14"/>
      <c r="C133" s="14"/>
      <c r="D133" s="14"/>
      <c r="E133" s="14"/>
      <c r="F133" s="14"/>
      <c r="G133" s="14"/>
      <c r="H133" s="14"/>
      <c r="I133" s="14"/>
      <c r="J133" s="14"/>
      <c r="K133" s="14"/>
      <c r="L133" s="14"/>
      <c r="M133" s="14"/>
      <c r="N133" s="14"/>
      <c r="O133" s="14"/>
      <c r="P133" s="14"/>
      <c r="Q133" s="14"/>
      <c r="R133" s="14"/>
    </row>
  </sheetData>
  <phoneticPr fontId="13"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workbookViewId="0"/>
  </sheetViews>
  <sheetFormatPr defaultRowHeight="12.75" x14ac:dyDescent="0.2"/>
  <sheetData>
    <row r="1" spans="1:19" x14ac:dyDescent="0.2">
      <c r="A1" s="14"/>
      <c r="B1" s="14"/>
      <c r="C1" s="14"/>
      <c r="D1" s="14"/>
      <c r="E1" s="14"/>
      <c r="F1" s="14"/>
      <c r="G1" s="14"/>
      <c r="H1" s="14"/>
      <c r="I1" s="14"/>
      <c r="J1" s="14"/>
      <c r="K1" s="14"/>
      <c r="L1" s="14"/>
      <c r="M1" s="14"/>
      <c r="N1" s="14"/>
      <c r="O1" s="14"/>
      <c r="P1" s="14"/>
      <c r="Q1" s="14"/>
      <c r="R1" s="14"/>
      <c r="S1" s="14"/>
    </row>
    <row r="2" spans="1:19" x14ac:dyDescent="0.2">
      <c r="A2" s="14"/>
      <c r="B2" s="60" t="s">
        <v>942</v>
      </c>
      <c r="C2" s="60"/>
      <c r="D2" s="60"/>
      <c r="E2" s="60"/>
      <c r="F2" s="60" t="s">
        <v>943</v>
      </c>
      <c r="G2" s="60"/>
      <c r="H2" s="60"/>
      <c r="I2" s="60"/>
      <c r="J2" s="60" t="s">
        <v>944</v>
      </c>
      <c r="K2" s="60"/>
      <c r="L2" s="60"/>
      <c r="M2" s="60"/>
      <c r="N2" s="60" t="s">
        <v>945</v>
      </c>
      <c r="O2" s="60"/>
      <c r="P2" s="60"/>
      <c r="Q2" s="60"/>
      <c r="R2" s="60" t="s">
        <v>946</v>
      </c>
      <c r="S2" s="14"/>
    </row>
    <row r="3" spans="1:19" x14ac:dyDescent="0.2">
      <c r="A3" s="60" t="s">
        <v>939</v>
      </c>
      <c r="B3" s="60" t="s">
        <v>940</v>
      </c>
      <c r="C3" s="60" t="s">
        <v>941</v>
      </c>
      <c r="D3" s="60"/>
      <c r="E3" s="60" t="s">
        <v>939</v>
      </c>
      <c r="F3" s="60" t="s">
        <v>940</v>
      </c>
      <c r="G3" s="60" t="s">
        <v>941</v>
      </c>
      <c r="H3" s="60"/>
      <c r="I3" s="60" t="s">
        <v>939</v>
      </c>
      <c r="J3" s="60" t="s">
        <v>940</v>
      </c>
      <c r="K3" s="60" t="s">
        <v>941</v>
      </c>
      <c r="L3" s="60"/>
      <c r="M3" s="60" t="s">
        <v>939</v>
      </c>
      <c r="N3" s="60" t="s">
        <v>940</v>
      </c>
      <c r="O3" s="60" t="s">
        <v>941</v>
      </c>
      <c r="P3" s="60"/>
      <c r="Q3" s="60" t="s">
        <v>939</v>
      </c>
      <c r="R3" s="60" t="s">
        <v>940</v>
      </c>
      <c r="S3" s="60" t="s">
        <v>941</v>
      </c>
    </row>
    <row r="4" spans="1:19" x14ac:dyDescent="0.2">
      <c r="A4" s="60"/>
      <c r="B4" s="60"/>
      <c r="C4" s="60"/>
      <c r="D4" s="60"/>
      <c r="E4" s="60"/>
      <c r="F4" s="60"/>
      <c r="G4" s="60"/>
      <c r="H4" s="60"/>
      <c r="I4" s="60"/>
      <c r="J4" s="60"/>
      <c r="K4" s="60"/>
      <c r="L4" s="60"/>
      <c r="M4" s="60"/>
      <c r="N4" s="60"/>
      <c r="O4" s="60"/>
      <c r="P4" s="60"/>
      <c r="Q4" s="60"/>
      <c r="R4" s="60"/>
      <c r="S4" s="60"/>
    </row>
    <row r="5" spans="1:19" x14ac:dyDescent="0.2">
      <c r="A5" s="60" t="s">
        <v>396</v>
      </c>
      <c r="B5" s="14" t="s">
        <v>210</v>
      </c>
      <c r="C5" s="14" t="s">
        <v>184</v>
      </c>
      <c r="D5" s="14"/>
      <c r="E5" s="60" t="s">
        <v>363</v>
      </c>
      <c r="F5" s="14" t="s">
        <v>55</v>
      </c>
      <c r="G5" s="14" t="s">
        <v>184</v>
      </c>
      <c r="H5" s="14"/>
      <c r="I5" s="14"/>
      <c r="J5" s="14"/>
      <c r="K5" s="14"/>
      <c r="L5" s="14"/>
      <c r="M5" s="60" t="s">
        <v>339</v>
      </c>
      <c r="N5" s="14" t="s">
        <v>176</v>
      </c>
      <c r="O5" s="14" t="s">
        <v>184</v>
      </c>
      <c r="P5" s="14"/>
      <c r="Q5" s="14" t="s">
        <v>327</v>
      </c>
      <c r="R5" s="14" t="s">
        <v>51</v>
      </c>
      <c r="S5" s="14" t="s">
        <v>39</v>
      </c>
    </row>
    <row r="6" spans="1:19" x14ac:dyDescent="0.2">
      <c r="A6" s="60" t="s">
        <v>391</v>
      </c>
      <c r="B6" s="14" t="s">
        <v>724</v>
      </c>
      <c r="C6" s="14" t="s">
        <v>39</v>
      </c>
      <c r="D6" s="14"/>
      <c r="E6" s="60" t="s">
        <v>358</v>
      </c>
      <c r="F6" s="14" t="s">
        <v>55</v>
      </c>
      <c r="G6" s="14" t="s">
        <v>39</v>
      </c>
      <c r="H6" s="14"/>
      <c r="I6" s="14"/>
      <c r="J6" s="14"/>
      <c r="K6" s="14"/>
      <c r="L6" s="14"/>
      <c r="M6" s="60" t="s">
        <v>333</v>
      </c>
      <c r="N6" s="14" t="s">
        <v>176</v>
      </c>
      <c r="O6" s="14" t="s">
        <v>39</v>
      </c>
      <c r="P6" s="14"/>
      <c r="Q6" s="14" t="s">
        <v>84</v>
      </c>
      <c r="R6" s="14" t="s">
        <v>46</v>
      </c>
      <c r="S6" s="14" t="s">
        <v>20</v>
      </c>
    </row>
    <row r="7" spans="1:19" x14ac:dyDescent="0.2">
      <c r="A7" s="60" t="s">
        <v>388</v>
      </c>
      <c r="B7" s="14" t="s">
        <v>724</v>
      </c>
      <c r="C7" s="14" t="s">
        <v>179</v>
      </c>
      <c r="D7" s="14"/>
      <c r="E7" s="60" t="s">
        <v>353</v>
      </c>
      <c r="F7" s="14" t="s">
        <v>55</v>
      </c>
      <c r="G7" s="14" t="s">
        <v>179</v>
      </c>
      <c r="H7" s="14"/>
      <c r="I7" s="14"/>
      <c r="J7" s="14"/>
      <c r="K7" s="14"/>
      <c r="L7" s="14"/>
      <c r="M7" s="60" t="s">
        <v>332</v>
      </c>
      <c r="N7" s="14" t="s">
        <v>176</v>
      </c>
      <c r="O7" s="14" t="s">
        <v>39</v>
      </c>
      <c r="P7" s="14"/>
      <c r="Q7" s="14"/>
      <c r="R7" s="14"/>
      <c r="S7" s="14"/>
    </row>
    <row r="8" spans="1:19" x14ac:dyDescent="0.2">
      <c r="A8" s="60" t="s">
        <v>380</v>
      </c>
      <c r="B8" s="14" t="s">
        <v>724</v>
      </c>
      <c r="C8" s="14" t="s">
        <v>20</v>
      </c>
      <c r="D8" s="14"/>
      <c r="E8" s="60" t="s">
        <v>348</v>
      </c>
      <c r="F8" s="14" t="s">
        <v>55</v>
      </c>
      <c r="G8" s="14" t="s">
        <v>20</v>
      </c>
      <c r="H8" s="14"/>
      <c r="I8" s="14"/>
      <c r="J8" s="14"/>
      <c r="K8" s="14"/>
      <c r="L8" s="14"/>
      <c r="M8" s="60"/>
      <c r="N8" s="14"/>
      <c r="O8" s="14"/>
      <c r="P8" s="14"/>
      <c r="Q8" s="14"/>
      <c r="R8" s="14"/>
      <c r="S8" s="14"/>
    </row>
    <row r="9" spans="1:19" x14ac:dyDescent="0.2">
      <c r="A9" s="60" t="s">
        <v>374</v>
      </c>
      <c r="B9" s="14" t="s">
        <v>724</v>
      </c>
      <c r="C9" s="14" t="s">
        <v>191</v>
      </c>
      <c r="D9" s="14"/>
      <c r="E9" s="60" t="s">
        <v>347</v>
      </c>
      <c r="F9" s="14" t="s">
        <v>55</v>
      </c>
      <c r="G9" s="14" t="s">
        <v>191</v>
      </c>
      <c r="H9" s="14"/>
      <c r="I9" s="14"/>
      <c r="J9" s="14"/>
      <c r="K9" s="14"/>
      <c r="L9" s="14"/>
      <c r="M9" s="60"/>
      <c r="N9" s="14"/>
      <c r="O9" s="14"/>
      <c r="P9" s="14"/>
      <c r="Q9" s="14"/>
      <c r="R9" s="14"/>
      <c r="S9" s="14"/>
    </row>
    <row r="10" spans="1:19" x14ac:dyDescent="0.2">
      <c r="A10" s="60" t="s">
        <v>368</v>
      </c>
      <c r="B10" s="14" t="s">
        <v>724</v>
      </c>
      <c r="C10" s="14" t="s">
        <v>28</v>
      </c>
      <c r="D10" s="14"/>
      <c r="E10" s="60" t="s">
        <v>345</v>
      </c>
      <c r="F10" s="14" t="s">
        <v>55</v>
      </c>
      <c r="G10" s="14" t="s">
        <v>28</v>
      </c>
      <c r="H10" s="14"/>
      <c r="I10" s="14"/>
      <c r="J10" s="14"/>
      <c r="K10" s="14"/>
      <c r="L10" s="14"/>
      <c r="M10" s="60"/>
      <c r="N10" s="14"/>
      <c r="O10" s="14"/>
      <c r="P10" s="14"/>
      <c r="Q10" s="14"/>
      <c r="R10" s="14"/>
      <c r="S10" s="14"/>
    </row>
    <row r="11" spans="1:19" x14ac:dyDescent="0.2">
      <c r="A11" s="60"/>
      <c r="B11" s="14"/>
      <c r="C11" s="14"/>
      <c r="D11" s="14"/>
      <c r="E11" s="60"/>
      <c r="F11" s="14"/>
      <c r="G11" s="14"/>
      <c r="H11" s="14"/>
      <c r="I11" s="14"/>
      <c r="J11" s="14"/>
      <c r="K11" s="14"/>
      <c r="L11" s="14"/>
      <c r="M11" s="60"/>
      <c r="N11" s="14"/>
      <c r="O11" s="14"/>
      <c r="P11" s="14"/>
      <c r="Q11" s="14"/>
      <c r="R11" s="14"/>
      <c r="S11" s="14"/>
    </row>
    <row r="12" spans="1:19" x14ac:dyDescent="0.2">
      <c r="A12" s="60" t="s">
        <v>322</v>
      </c>
      <c r="B12" s="14" t="s">
        <v>57</v>
      </c>
      <c r="C12" s="14" t="s">
        <v>53</v>
      </c>
      <c r="D12" s="14"/>
      <c r="E12" s="60" t="s">
        <v>307</v>
      </c>
      <c r="F12" s="14" t="s">
        <v>55</v>
      </c>
      <c r="G12" s="14" t="s">
        <v>53</v>
      </c>
      <c r="H12" s="14"/>
      <c r="I12" s="60" t="s">
        <v>289</v>
      </c>
      <c r="J12" s="14" t="s">
        <v>275</v>
      </c>
      <c r="K12" s="14" t="s">
        <v>39</v>
      </c>
      <c r="L12" s="14"/>
      <c r="M12" s="60" t="s">
        <v>266</v>
      </c>
      <c r="N12" s="14" t="s">
        <v>176</v>
      </c>
      <c r="O12" s="14" t="s">
        <v>53</v>
      </c>
      <c r="P12" s="14"/>
      <c r="Q12" s="14"/>
      <c r="R12" s="14"/>
      <c r="S12" s="14"/>
    </row>
    <row r="13" spans="1:19" x14ac:dyDescent="0.2">
      <c r="A13" s="60" t="s">
        <v>319</v>
      </c>
      <c r="B13" s="14" t="s">
        <v>57</v>
      </c>
      <c r="C13" s="14" t="s">
        <v>184</v>
      </c>
      <c r="D13" s="14"/>
      <c r="E13" s="60" t="s">
        <v>306</v>
      </c>
      <c r="F13" s="14" t="s">
        <v>55</v>
      </c>
      <c r="G13" s="14" t="s">
        <v>184</v>
      </c>
      <c r="H13" s="14"/>
      <c r="I13" s="60" t="s">
        <v>283</v>
      </c>
      <c r="J13" s="14" t="s">
        <v>275</v>
      </c>
      <c r="K13" s="14" t="s">
        <v>179</v>
      </c>
      <c r="L13" s="14"/>
      <c r="M13" s="60" t="s">
        <v>262</v>
      </c>
      <c r="N13" s="14" t="s">
        <v>176</v>
      </c>
      <c r="O13" s="14" t="s">
        <v>184</v>
      </c>
      <c r="P13" s="14"/>
      <c r="Q13" s="14"/>
      <c r="R13" s="14"/>
      <c r="S13" s="14"/>
    </row>
    <row r="14" spans="1:19" x14ac:dyDescent="0.2">
      <c r="A14" s="60" t="s">
        <v>317</v>
      </c>
      <c r="B14" s="14" t="s">
        <v>57</v>
      </c>
      <c r="C14" s="14" t="s">
        <v>39</v>
      </c>
      <c r="D14" s="14"/>
      <c r="E14" s="60" t="s">
        <v>302</v>
      </c>
      <c r="F14" s="14" t="s">
        <v>55</v>
      </c>
      <c r="G14" s="14" t="s">
        <v>39</v>
      </c>
      <c r="H14" s="14"/>
      <c r="I14" s="60" t="s">
        <v>274</v>
      </c>
      <c r="J14" s="14" t="s">
        <v>275</v>
      </c>
      <c r="K14" s="14" t="s">
        <v>20</v>
      </c>
      <c r="L14" s="14"/>
      <c r="M14" s="60" t="s">
        <v>259</v>
      </c>
      <c r="N14" s="14" t="s">
        <v>176</v>
      </c>
      <c r="O14" s="14" t="s">
        <v>39</v>
      </c>
      <c r="P14" s="14"/>
      <c r="Q14" s="14"/>
      <c r="R14" s="14"/>
      <c r="S14" s="14"/>
    </row>
    <row r="15" spans="1:19" x14ac:dyDescent="0.2">
      <c r="A15" s="60" t="s">
        <v>313</v>
      </c>
      <c r="B15" s="14" t="s">
        <v>57</v>
      </c>
      <c r="C15" s="14" t="s">
        <v>179</v>
      </c>
      <c r="D15" s="14"/>
      <c r="E15" s="60" t="s">
        <v>295</v>
      </c>
      <c r="F15" s="14" t="s">
        <v>55</v>
      </c>
      <c r="G15" s="14" t="s">
        <v>179</v>
      </c>
      <c r="H15" s="14"/>
      <c r="I15" s="14"/>
      <c r="J15" s="14"/>
      <c r="K15" s="14"/>
      <c r="L15" s="14"/>
      <c r="M15" s="60"/>
      <c r="N15" s="14"/>
      <c r="O15" s="14"/>
      <c r="P15" s="14"/>
      <c r="Q15" s="14"/>
      <c r="R15" s="14"/>
      <c r="S15" s="14"/>
    </row>
    <row r="16" spans="1:19" x14ac:dyDescent="0.2">
      <c r="A16" s="60" t="s">
        <v>310</v>
      </c>
      <c r="B16" s="14" t="s">
        <v>57</v>
      </c>
      <c r="C16" s="14" t="s">
        <v>20</v>
      </c>
      <c r="D16" s="14"/>
      <c r="E16" s="60"/>
      <c r="F16" s="14"/>
      <c r="G16" s="14"/>
      <c r="H16" s="14"/>
      <c r="I16" s="14"/>
      <c r="J16" s="14"/>
      <c r="K16" s="14"/>
      <c r="L16" s="14"/>
      <c r="M16" s="60"/>
      <c r="N16" s="14"/>
      <c r="O16" s="14"/>
      <c r="P16" s="14"/>
      <c r="Q16" s="14"/>
      <c r="R16" s="14"/>
      <c r="S16" s="14"/>
    </row>
    <row r="17" spans="1:19" x14ac:dyDescent="0.2">
      <c r="A17" s="60" t="s">
        <v>308</v>
      </c>
      <c r="B17" s="14" t="s">
        <v>57</v>
      </c>
      <c r="C17" s="14" t="s">
        <v>191</v>
      </c>
      <c r="D17" s="14"/>
      <c r="E17" s="60"/>
      <c r="F17" s="14"/>
      <c r="G17" s="14"/>
      <c r="H17" s="14"/>
      <c r="I17" s="14"/>
      <c r="J17" s="14"/>
      <c r="K17" s="14"/>
      <c r="L17" s="14"/>
      <c r="M17" s="60"/>
      <c r="O17" s="14"/>
      <c r="P17" s="14"/>
      <c r="Q17" s="14"/>
      <c r="R17" s="14"/>
      <c r="S17" s="14"/>
    </row>
    <row r="18" spans="1:19" x14ac:dyDescent="0.2">
      <c r="A18" s="127"/>
      <c r="B18" s="14"/>
      <c r="C18" s="14"/>
      <c r="D18" s="14"/>
      <c r="E18" s="60"/>
      <c r="F18" s="14"/>
      <c r="G18" s="14"/>
      <c r="H18" s="14"/>
      <c r="I18" s="14"/>
      <c r="J18" s="14"/>
      <c r="K18" s="14"/>
      <c r="L18" s="14"/>
      <c r="M18" s="76"/>
      <c r="N18" s="14"/>
      <c r="P18" s="14"/>
      <c r="Q18" s="14"/>
      <c r="R18" s="14"/>
      <c r="S18" s="14"/>
    </row>
    <row r="19" spans="1:19" x14ac:dyDescent="0.2">
      <c r="A19" s="127" t="s">
        <v>249</v>
      </c>
      <c r="B19" s="14" t="s">
        <v>723</v>
      </c>
      <c r="C19" s="14" t="s">
        <v>184</v>
      </c>
      <c r="D19" s="14"/>
      <c r="E19" s="60" t="s">
        <v>209</v>
      </c>
      <c r="F19" s="14" t="s">
        <v>210</v>
      </c>
      <c r="G19" s="14" t="s">
        <v>184</v>
      </c>
      <c r="H19" s="14"/>
      <c r="I19" s="14"/>
      <c r="J19" s="14"/>
      <c r="K19" s="14"/>
      <c r="L19" s="14"/>
      <c r="M19" s="60" t="s">
        <v>185</v>
      </c>
      <c r="N19" s="14" t="s">
        <v>176</v>
      </c>
      <c r="O19" s="14" t="s">
        <v>184</v>
      </c>
      <c r="P19" s="14"/>
      <c r="R19" s="14"/>
      <c r="S19" s="14"/>
    </row>
    <row r="20" spans="1:19" x14ac:dyDescent="0.2">
      <c r="A20" s="60" t="s">
        <v>242</v>
      </c>
      <c r="B20" s="14" t="s">
        <v>722</v>
      </c>
      <c r="C20" s="14" t="s">
        <v>39</v>
      </c>
      <c r="D20" s="14"/>
      <c r="E20" s="60" t="s">
        <v>203</v>
      </c>
      <c r="F20" s="14" t="s">
        <v>55</v>
      </c>
      <c r="G20" s="14" t="s">
        <v>39</v>
      </c>
      <c r="H20" s="14"/>
      <c r="I20" s="14"/>
      <c r="J20" s="14"/>
      <c r="K20" s="14"/>
      <c r="L20" s="14"/>
      <c r="M20" s="60" t="s">
        <v>182</v>
      </c>
      <c r="N20" s="14" t="s">
        <v>176</v>
      </c>
      <c r="O20" s="14" t="s">
        <v>39</v>
      </c>
      <c r="P20" s="14"/>
      <c r="R20" s="14"/>
      <c r="S20" s="14"/>
    </row>
    <row r="21" spans="1:19" x14ac:dyDescent="0.2">
      <c r="A21" s="60" t="s">
        <v>234</v>
      </c>
      <c r="B21" s="14" t="s">
        <v>210</v>
      </c>
      <c r="C21" s="14" t="s">
        <v>179</v>
      </c>
      <c r="D21" s="14"/>
      <c r="E21" s="60" t="s">
        <v>201</v>
      </c>
      <c r="F21" s="14" t="s">
        <v>55</v>
      </c>
      <c r="G21" s="14" t="s">
        <v>179</v>
      </c>
      <c r="H21" s="14"/>
      <c r="I21" s="14"/>
      <c r="J21" s="14"/>
      <c r="K21" s="14"/>
      <c r="L21" s="14"/>
      <c r="M21" s="60" t="s">
        <v>180</v>
      </c>
      <c r="N21" s="14" t="s">
        <v>176</v>
      </c>
      <c r="O21" s="14" t="s">
        <v>179</v>
      </c>
      <c r="P21" s="14"/>
      <c r="R21" s="14"/>
      <c r="S21" s="14"/>
    </row>
    <row r="22" spans="1:19" x14ac:dyDescent="0.2">
      <c r="A22" s="60" t="s">
        <v>228</v>
      </c>
      <c r="B22" s="14" t="s">
        <v>57</v>
      </c>
      <c r="C22" s="14" t="s">
        <v>20</v>
      </c>
      <c r="D22" s="14"/>
      <c r="E22" s="60" t="s">
        <v>196</v>
      </c>
      <c r="F22" s="14" t="s">
        <v>55</v>
      </c>
      <c r="G22" s="14" t="s">
        <v>20</v>
      </c>
      <c r="H22" s="14"/>
      <c r="I22" s="14"/>
      <c r="J22" s="14"/>
      <c r="K22" s="14"/>
      <c r="L22" s="14"/>
      <c r="M22" s="60" t="s">
        <v>175</v>
      </c>
      <c r="N22" s="14" t="s">
        <v>176</v>
      </c>
      <c r="O22" s="14" t="s">
        <v>20</v>
      </c>
      <c r="P22" s="14"/>
      <c r="R22" s="14"/>
      <c r="S22" s="14"/>
    </row>
    <row r="23" spans="1:19" x14ac:dyDescent="0.2">
      <c r="A23" s="60" t="s">
        <v>221</v>
      </c>
      <c r="B23" s="14" t="s">
        <v>57</v>
      </c>
      <c r="C23" s="14" t="s">
        <v>191</v>
      </c>
      <c r="D23" s="14"/>
      <c r="E23" s="60" t="s">
        <v>192</v>
      </c>
      <c r="F23" s="14" t="s">
        <v>55</v>
      </c>
      <c r="G23" s="14" t="s">
        <v>191</v>
      </c>
      <c r="H23" s="14"/>
      <c r="I23" s="14"/>
      <c r="J23" s="14"/>
      <c r="K23" s="14"/>
      <c r="L23" s="14"/>
      <c r="M23" s="14"/>
      <c r="N23" s="14"/>
      <c r="O23" s="14"/>
      <c r="P23" s="14"/>
      <c r="Q23" s="14"/>
      <c r="R23" s="14"/>
      <c r="S23" s="14"/>
    </row>
    <row r="24" spans="1:19" x14ac:dyDescent="0.2">
      <c r="A24" s="60" t="s">
        <v>216</v>
      </c>
      <c r="B24" s="14" t="s">
        <v>57</v>
      </c>
      <c r="C24" s="14" t="s">
        <v>28</v>
      </c>
      <c r="D24" s="14"/>
      <c r="E24" s="14"/>
      <c r="F24" s="14"/>
      <c r="G24" s="14"/>
      <c r="H24" s="14"/>
      <c r="I24" s="14"/>
      <c r="J24" s="14"/>
      <c r="K24" s="14"/>
      <c r="L24" s="14"/>
      <c r="M24" s="14"/>
      <c r="N24" s="14"/>
      <c r="O24" s="14"/>
      <c r="P24" s="14"/>
      <c r="Q24" s="14"/>
      <c r="R24" s="14"/>
      <c r="S24" s="14"/>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FASA to Decipher</vt:lpstr>
      <vt:lpstr>Example Ship</vt:lpstr>
      <vt:lpstr>Stat Sheet (linked to example)</vt:lpstr>
      <vt:lpstr>Ship Component Analysis</vt:lpstr>
      <vt:lpstr>Shield Analysis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A. Wood</dc:creator>
  <cp:lastModifiedBy>Lee A. Wood</cp:lastModifiedBy>
  <dcterms:created xsi:type="dcterms:W3CDTF">2014-03-22T07:05:28Z</dcterms:created>
  <dcterms:modified xsi:type="dcterms:W3CDTF">2015-05-30T05:03:24Z</dcterms:modified>
</cp:coreProperties>
</file>